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P:\Compras\Adm.Selc\ADM.2023\EDITAIS\CONCORRÊNCIA\"/>
    </mc:Choice>
  </mc:AlternateContent>
  <bookViews>
    <workbookView xWindow="0" yWindow="0" windowWidth="28800" windowHeight="11835" tabRatio="830" firstSheet="18" activeTab="25"/>
  </bookViews>
  <sheets>
    <sheet name="Q1.Pass. 2022" sheetId="691" r:id="rId1"/>
    <sheet name="Q2.Dados Operacionais" sheetId="688" r:id="rId2"/>
    <sheet name="% custos" sheetId="693" state="hidden" r:id="rId3"/>
    <sheet name="Q3.C Variável" sheetId="493" r:id="rId4"/>
    <sheet name="Q4.a-Custos Fixos" sheetId="492" r:id="rId5"/>
    <sheet name="Q5. Sistemas" sheetId="574" r:id="rId6"/>
    <sheet name="Q6. Despesas gerais" sheetId="316" r:id="rId7"/>
    <sheet name="Q7. Convencional" sheetId="646" r:id="rId8"/>
    <sheet name="Q7.e-Executivo" sheetId="686" state="hidden" r:id="rId9"/>
    <sheet name="Q7.f-Van" sheetId="649" state="hidden" r:id="rId10"/>
    <sheet name="Q7.g-Turismo" sheetId="692" state="hidden" r:id="rId11"/>
    <sheet name="Q8.a-Preço-Veíc. Op." sheetId="494" r:id="rId12"/>
    <sheet name="Q8.b-Compra-Veíc. oper." sheetId="571" r:id="rId13"/>
    <sheet name="Q8.c-Venda-Veíc. oper." sheetId="572" r:id="rId14"/>
    <sheet name="Q9.a-Veic. Adm." sheetId="654" r:id="rId15"/>
    <sheet name="Q9.b-Veic. Resgate" sheetId="656" state="hidden" r:id="rId16"/>
    <sheet name="Q10.a-Preço-Outros Veíc. " sheetId="652" r:id="rId17"/>
    <sheet name="Q10.b-Compra-Outros Veíc." sheetId="653" r:id="rId18"/>
    <sheet name="Q10.c-Venda-Outros Veíc." sheetId="657" r:id="rId19"/>
    <sheet name="Q11-Garagens" sheetId="586" r:id="rId20"/>
    <sheet name="Q12-Infra" sheetId="676" r:id="rId21"/>
    <sheet name="Q13-Tributos" sheetId="682" r:id="rId22"/>
    <sheet name="Q14-Depreciação" sheetId="578" r:id="rId23"/>
    <sheet name="Q15-FCD" sheetId="544" r:id="rId24"/>
    <sheet name="CALCULO DO SUBSIDIO" sheetId="695" r:id="rId25"/>
    <sheet name="quadro operacional" sheetId="696" r:id="rId26"/>
  </sheets>
  <externalReferences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</externalReferences>
  <definedNames>
    <definedName name="\0">#N/A</definedName>
    <definedName name="\a">#REF!</definedName>
    <definedName name="\c">#REF!</definedName>
    <definedName name="\d">#REF!</definedName>
    <definedName name="\e">#REF!</definedName>
    <definedName name="\g">#REF!</definedName>
    <definedName name="\l">#N/A</definedName>
    <definedName name="\m">#REF!</definedName>
    <definedName name="\o">#REF!</definedName>
    <definedName name="\p">#N/A</definedName>
    <definedName name="\R" localSheetId="16">#REF!</definedName>
    <definedName name="\R" localSheetId="17">#REF!</definedName>
    <definedName name="\R" localSheetId="18">#REF!</definedName>
    <definedName name="\R" localSheetId="7">#REF!</definedName>
    <definedName name="\R" localSheetId="8">#REF!</definedName>
    <definedName name="\R" localSheetId="9">#REF!</definedName>
    <definedName name="\R" localSheetId="10">#REF!</definedName>
    <definedName name="\R" localSheetId="14">#REF!</definedName>
    <definedName name="\R" localSheetId="15">#REF!</definedName>
    <definedName name="\R">#REF!</definedName>
    <definedName name="\SOMMAIRE">#REF!</definedName>
    <definedName name="\v">#REF!</definedName>
    <definedName name="\x">#REF!</definedName>
    <definedName name="_.">#REF!</definedName>
    <definedName name="__123Graph_ASIDECO" localSheetId="16" hidden="1">#REF!</definedName>
    <definedName name="__123Graph_ASIDECO" localSheetId="17" hidden="1">#REF!</definedName>
    <definedName name="__123Graph_ASIDECO" localSheetId="18" hidden="1">#REF!</definedName>
    <definedName name="__123Graph_ASIDECO" localSheetId="7" hidden="1">#REF!</definedName>
    <definedName name="__123Graph_ASIDECO" localSheetId="8" hidden="1">#REF!</definedName>
    <definedName name="__123Graph_ASIDECO" localSheetId="9" hidden="1">#REF!</definedName>
    <definedName name="__123Graph_ASIDECO" localSheetId="10" hidden="1">#REF!</definedName>
    <definedName name="__123Graph_ASIDECO" localSheetId="14" hidden="1">#REF!</definedName>
    <definedName name="__123Graph_ASIDECO" localSheetId="15" hidden="1">#REF!</definedName>
    <definedName name="__123Graph_ASIDECO" hidden="1">#REF!</definedName>
    <definedName name="__123Graph_BSIDECO" localSheetId="16" hidden="1">#REF!</definedName>
    <definedName name="__123Graph_BSIDECO" localSheetId="17" hidden="1">#REF!</definedName>
    <definedName name="__123Graph_BSIDECO" localSheetId="18" hidden="1">#REF!</definedName>
    <definedName name="__123Graph_BSIDECO" localSheetId="7" hidden="1">#REF!</definedName>
    <definedName name="__123Graph_BSIDECO" localSheetId="8" hidden="1">#REF!</definedName>
    <definedName name="__123Graph_BSIDECO" localSheetId="9" hidden="1">#REF!</definedName>
    <definedName name="__123Graph_BSIDECO" localSheetId="10" hidden="1">#REF!</definedName>
    <definedName name="__123Graph_BSIDECO" localSheetId="14" hidden="1">#REF!</definedName>
    <definedName name="__123Graph_BSIDECO" localSheetId="15" hidden="1">#REF!</definedName>
    <definedName name="__123Graph_BSIDECO" hidden="1">#REF!</definedName>
    <definedName name="__123Graph_CSIDECO" localSheetId="16" hidden="1">#REF!</definedName>
    <definedName name="__123Graph_CSIDECO" localSheetId="17" hidden="1">#REF!</definedName>
    <definedName name="__123Graph_CSIDECO" localSheetId="18" hidden="1">#REF!</definedName>
    <definedName name="__123Graph_CSIDECO" localSheetId="7" hidden="1">#REF!</definedName>
    <definedName name="__123Graph_CSIDECO" localSheetId="8" hidden="1">#REF!</definedName>
    <definedName name="__123Graph_CSIDECO" localSheetId="9" hidden="1">#REF!</definedName>
    <definedName name="__123Graph_CSIDECO" localSheetId="10" hidden="1">#REF!</definedName>
    <definedName name="__123Graph_CSIDECO" localSheetId="14" hidden="1">#REF!</definedName>
    <definedName name="__123Graph_CSIDECO" localSheetId="15" hidden="1">#REF!</definedName>
    <definedName name="__123Graph_CSIDECO" hidden="1">#REF!</definedName>
    <definedName name="__123Graph_XSIDECO" localSheetId="16" hidden="1">#REF!</definedName>
    <definedName name="__123Graph_XSIDECO" localSheetId="17" hidden="1">#REF!</definedName>
    <definedName name="__123Graph_XSIDECO" localSheetId="18" hidden="1">#REF!</definedName>
    <definedName name="__123Graph_XSIDECO" localSheetId="7" hidden="1">#REF!</definedName>
    <definedName name="__123Graph_XSIDECO" localSheetId="8" hidden="1">#REF!</definedName>
    <definedName name="__123Graph_XSIDECO" localSheetId="9" hidden="1">#REF!</definedName>
    <definedName name="__123Graph_XSIDECO" localSheetId="10" hidden="1">#REF!</definedName>
    <definedName name="__123Graph_XSIDECO" localSheetId="14" hidden="1">#REF!</definedName>
    <definedName name="__123Graph_XSIDECO" localSheetId="15" hidden="1">#REF!</definedName>
    <definedName name="__123Graph_XSIDECO" hidden="1">#REF!</definedName>
    <definedName name="__TitleTemp">#NAME?</definedName>
    <definedName name="_D3">{0;0;0;0;1;#N/A;0.5;0.5;0.75;0.75;2;TRUE;TRUE;FALSE;FALSE;FALSE;#N/A;1;#N/A;1;1;"&amp;L&amp;7 RAMIBD05\GROUPS\EMG\DESOUSA\BRAZIL\MACHADIB\MODEL\MODEL_12.XLS -- &amp;D, &amp;T -- Page &amp;P of &amp;N
&amp;7";"&amp;L&amp;F&amp;A&amp;RPage&amp;P"}</definedName>
    <definedName name="_D4">{0;0;0;0;1;#N/A;0.5;0.5;0.75;0.75;2;TRUE;TRUE;FALSE;FALSE;FALSE;#N/A;1;#N/A;1;1;"&amp;L&amp;7 RAMIBD05\GROUPS\EMG\DESOUSA\BRAZIL\MACHADIB\MODEL\MODEL_12.XLS -- &amp;D, &amp;T -- Page &amp;P of &amp;N
&amp;7";"&amp;L&amp;F&amp;A&amp;RPage&amp;P"}</definedName>
    <definedName name="_D5">{0;0;0;0;1;#N/A;0.5;0.5;0.75;0.75;2;TRUE;TRUE;FALSE;FALSE;FALSE;#N/A;1;#N/A;1;1;"&amp;L&amp;7 RAMIBD05\GROUPS\EMG\DESOUSA\BRAZIL\MACHADIB\MODEL\MODEL_12.XLS -- &amp;D, &amp;T -- Page &amp;P of &amp;N
&amp;7";"&amp;L&amp;F&amp;A&amp;RPage&amp;P"}</definedName>
    <definedName name="_D6">{0;0;0;0;9;#N/A;0.75;0.75;1;1;1;FALSE;FALSE;FALSE;FALSE;FALSE;#N/A;1;100;#N/A;#N/A;"&amp;A";"Page &amp;P"}</definedName>
    <definedName name="_D7">{0;0;0;0;9;#N/A;0.75;0.75;1;1;1;FALSE;FALSE;FALSE;FALSE;FALSE;#N/A;1;100;#N/A;#N/A;"&amp;A";"Page &amp;P"}</definedName>
    <definedName name="_D8">{0;0;0;0;9;#N/A;0.75;0.75;1;1;1;FALSE;FALSE;FALSE;FALSE;FALSE;#N/A;1;100;#N/A;#N/A;"&amp;A";"Page &amp;P"}</definedName>
    <definedName name="_dez2001">#REF!</definedName>
    <definedName name="_Fill" localSheetId="16" hidden="1">#REF!</definedName>
    <definedName name="_Fill" localSheetId="17" hidden="1">#REF!</definedName>
    <definedName name="_Fill" localSheetId="18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4" hidden="1">#REF!</definedName>
    <definedName name="_Fill" localSheetId="15" hidden="1">#REF!</definedName>
    <definedName name="_Fill" hidden="1">#REF!</definedName>
    <definedName name="_Key1" hidden="1">'[1]#REF'!$C$12</definedName>
    <definedName name="_Key2" hidden="1">'[1]#REF'!$C$26</definedName>
    <definedName name="_LOGO">#N/A</definedName>
    <definedName name="_LOGO_C">#N/A</definedName>
    <definedName name="_LOGO_T">#N/A</definedName>
    <definedName name="_MatMult_A" localSheetId="16" hidden="1">'[2]Painel de Controle'!#REF!</definedName>
    <definedName name="_MatMult_A" localSheetId="17" hidden="1">'[2]Painel de Controle'!#REF!</definedName>
    <definedName name="_MatMult_A" localSheetId="18" hidden="1">'[2]Painel de Controle'!#REF!</definedName>
    <definedName name="_MatMult_A" localSheetId="7" hidden="1">'[2]Painel de Controle'!#REF!</definedName>
    <definedName name="_MatMult_A" localSheetId="8" hidden="1">'[2]Painel de Controle'!#REF!</definedName>
    <definedName name="_MatMult_A" localSheetId="9" hidden="1">'[2]Painel de Controle'!#REF!</definedName>
    <definedName name="_MatMult_A" localSheetId="10" hidden="1">'[2]Painel de Controle'!#REF!</definedName>
    <definedName name="_MatMult_A" localSheetId="14" hidden="1">'[2]Painel de Controle'!#REF!</definedName>
    <definedName name="_MatMult_A" localSheetId="15" hidden="1">'[2]Painel de Controle'!#REF!</definedName>
    <definedName name="_MatMult_A" hidden="1">'[2]Painel de Controle'!#REF!</definedName>
    <definedName name="_nov2002">#REF!</definedName>
    <definedName name="_Order1" hidden="1">255</definedName>
    <definedName name="_Order2" hidden="1">255</definedName>
    <definedName name="_P00Balance">#REF!</definedName>
    <definedName name="_P00Cash">#REF!</definedName>
    <definedName name="_P00Debt">#REF!</definedName>
    <definedName name="_P00debt1">#REF!</definedName>
    <definedName name="_P00debt2">#REF!</definedName>
    <definedName name="_P00Deprec.">#REF!</definedName>
    <definedName name="_qe1">{0;0;0;0;1;#N/A;0.5;0.5;0.75;0.75;2;TRUE;TRUE;FALSE;FALSE;FALSE;#N/A;1;#N/A;1;1;"&amp;L&amp;7 RAMIBD05\GROUPS\EMG\DESOUSA\BRAZIL\MACHADIB\MODEL\MODEL_12.XLS -- &amp;D, &amp;T -- Page &amp;P of &amp;N
&amp;7";"&amp;L&amp;F&amp;A&amp;RPage&amp;P"}</definedName>
    <definedName name="_qe10">{0;0;0;0;1;#N/A;0.5;0.5;0.75;0.75;2;TRUE;TRUE;FALSE;FALSE;FALSE;#N/A;1;#N/A;1;1;"&amp;L&amp;7 RAMIBD05\GROUPS\EMG\DESOUSA\BRAZIL\MACHADIB\MODEL\MODEL_12.XLS -- &amp;D, &amp;T -- Page &amp;P of &amp;N
&amp;7";"&amp;L&amp;F&amp;A&amp;RPage&amp;P"}</definedName>
    <definedName name="_qe11">{0;0;0;0;9;#N/A;0.75;0.75;1;1;1;FALSE;FALSE;FALSE;FALSE;FALSE;#N/A;1;100;#N/A;#N/A;"&amp;A";"Page &amp;P"}</definedName>
    <definedName name="_qe2">{0;0;0;0;1;#N/A;0.5;0.5;0.75;0.75;2;TRUE;TRUE;FALSE;FALSE;FALSE;#N/A;1;#N/A;1;1;"&amp;L&amp;7 RAMIBD05\GROUPS\EMG\DESOUSA\BRAZIL\MACHADIB\MODEL\MODEL_12.XLS -- &amp;D, &amp;T -- Page &amp;P of &amp;N
&amp;7";"&amp;L&amp;F&amp;A&amp;RPage&amp;P"}</definedName>
    <definedName name="_qe3">{0;0;0;0;1;#N/A;0.5;0.5;0.75;0.75;2;TRUE;TRUE;FALSE;FALSE;FALSE;#N/A;1;#N/A;1;1;"&amp;L&amp;7 RAMIBD05\GROUPS\EMG\DESOUSA\BRAZIL\MACHADIB\MODEL\MODEL_12.XLS -- &amp;D, &amp;T -- Page &amp;P of &amp;N
&amp;7";"&amp;L&amp;F&amp;A&amp;RPage&amp;P"}</definedName>
    <definedName name="_qe4">{0;0;0;0;9;#N/A;0.75;0.75;1;1;1;FALSE;FALSE;FALSE;FALSE;FALSE;#N/A;1;100;#N/A;#N/A;"&amp;A";"Page &amp;P"}</definedName>
    <definedName name="_qe5">{0;0;0;0;9;#N/A;0.75;0.75;1;1;1;FALSE;FALSE;FALSE;FALSE;FALSE;#N/A;1;100;#N/A;#N/A;"&amp;A";"Page &amp;P"}</definedName>
    <definedName name="_qe6">{0;0;0;0;9;#N/A;0.75;0.75;1;1;1;FALSE;FALSE;FALSE;FALSE;FALSE;#N/A;1;100;#N/A;#N/A;"&amp;A";"Page &amp;P"}</definedName>
    <definedName name="_qe7">{0;0;0;0;1;#N/A;0.5;0.5;0.75;0.75;2;TRUE;TRUE;FALSE;FALSE;FALSE;#N/A;1;56;#N/A;#N/A;"&amp;L&amp;7 RAMIBD05\GROUPS\EMG\DESOUSA\BRAZIL\MACHADIB\MODEL\MODEL_20.XLS -- &amp;D, &amp;T -- Page 7 of 9
Machadinho Project
&amp;R&amp;""Arial,Italic""Confidential";"&amp;L&amp;F&amp;A&amp;RPage 7"}</definedName>
    <definedName name="_qe8">{0;0;0;0;1;#N/A;0.5;0.5;0.75;0.75;2;TRUE;TRUE;FALSE;FALSE;FALSE;#N/A;1;56;#N/A;#N/A;"&amp;L&amp;7 RAMIBD05\GROUPS\EMG\DESOUSA\BRAZIL\MACHADIB\MODEL\MODEL_20.XLS -- &amp;D, &amp;T -- Page 8 of 9
Machadinho Project
&amp;R&amp;""Arial,Italic""Confidential";"&amp;L&amp;F&amp;A&amp;RPage 8"}</definedName>
    <definedName name="_qe9">{0;0;0;0;258;#N/A;0.75;0.75;1;1;2;FALSE;FALSE;FALSE;FALSE;FALSE;#N/A;1;#N/A;1;1;"&amp;A";"Page &amp;P"}</definedName>
    <definedName name="_qw1">{0;0;0;0;1;#N/A;0.5;0.5;0.75;0.75;2;TRUE;TRUE;FALSE;FALSE;FALSE;#N/A;1;#N/A;1;1;"&amp;L&amp;7 RAMIBD05\GROUPS\EMG\DESOUSA\BRAZIL\MACHADIB\MODEL\MODEL_12.XLS -- &amp;D, &amp;T -- Page &amp;P of &amp;N
&amp;7";"&amp;L&amp;F&amp;A&amp;RPage&amp;P"}</definedName>
    <definedName name="_qw2">{0;0;0;0;1;#N/A;0.5;0.5;0.75;0.75;2;TRUE;TRUE;FALSE;FALSE;FALSE;#N/A;1;#N/A;1;1;"&amp;L&amp;7 RAMIBD05\GROUPS\EMG\DESOUSA\BRAZIL\MACHADIB\MODEL\MODEL_12.XLS -- &amp;D, &amp;T -- Page &amp;P of &amp;N
&amp;7";"&amp;L&amp;F&amp;A&amp;RPage&amp;P"}</definedName>
    <definedName name="_qw3">{0;0;0;0;1;#N/A;0.5;0.5;0.75;0.75;2;TRUE;TRUE;FALSE;FALSE;FALSE;#N/A;1;#N/A;1;1;"&amp;L&amp;7 RAMIBD05\GROUPS\EMG\DESOUSA\BRAZIL\MACHADIB\MODEL\MODEL_12.XLS -- &amp;D, &amp;T -- Page &amp;P of &amp;N
&amp;7";"&amp;L&amp;F&amp;A&amp;RPage&amp;P"}</definedName>
    <definedName name="_RC">#REF!</definedName>
    <definedName name="_Report">0</definedName>
    <definedName name="_Sort" localSheetId="16" hidden="1">#REF!</definedName>
    <definedName name="_Sort" localSheetId="17" hidden="1">#REF!</definedName>
    <definedName name="_Sort" localSheetId="18" hidden="1">#REF!</definedName>
    <definedName name="_Sort" localSheetId="7" hidden="1">#REF!</definedName>
    <definedName name="_Sort" localSheetId="8" hidden="1">#REF!</definedName>
    <definedName name="_Sort" localSheetId="9" hidden="1">#REF!</definedName>
    <definedName name="_Sort" localSheetId="10" hidden="1">#REF!</definedName>
    <definedName name="_Sort" localSheetId="14" hidden="1">#REF!</definedName>
    <definedName name="_Sort" localSheetId="15" hidden="1">#REF!</definedName>
    <definedName name="_Sort" hidden="1">#REF!</definedName>
    <definedName name="_TAB1">#REF!</definedName>
    <definedName name="_TAB2">#REF!</definedName>
    <definedName name="_TAB3">#REF!</definedName>
    <definedName name="_Table1_In1" hidden="1">#REF!</definedName>
    <definedName name="_Table1_Out" hidden="1">#REF!</definedName>
    <definedName name="_wq1">{0;0;0;0;1;#N/A;0.5;0.5;0.75;0.75;2;TRUE;TRUE;FALSE;FALSE;FALSE;#N/A;1;#N/A;1;1;"&amp;L&amp;7 RAMIBD05\GROUPS\EMG\DESOUSA\BRAZIL\MACHADIB\MODEL\MODEL_12.XLS -- &amp;D, &amp;T -- Page &amp;P of &amp;N
&amp;7";"&amp;L&amp;F&amp;A&amp;RPage&amp;P"}</definedName>
    <definedName name="_wq10">{0;0;0;0;258;#N/A;0.75;0.75;1;1;2;FALSE;FALSE;FALSE;FALSE;FALSE;#N/A;1;#N/A;1;1;"&amp;A";"Page &amp;P"}</definedName>
    <definedName name="_wq11">{0;0;0;0;1;#N/A;0.5;0.5;0.75;0.75;2;TRUE;TRUE;FALSE;FALSE;FALSE;#N/A;1;#N/A;1;1;"&amp;L&amp;7 RAMIBD05\GROUPS\EMG\DESOUSA\BRAZIL\MACHADIB\MODEL\MODEL_12.XLS -- &amp;D, &amp;T -- Page &amp;P of &amp;N
&amp;7";"&amp;L&amp;F&amp;A&amp;RPage&amp;P"}</definedName>
    <definedName name="_wq12">{0;0;0;0;9;#N/A;0.75;0.75;1;1;1;FALSE;FALSE;FALSE;FALSE;FALSE;#N/A;1;100;#N/A;#N/A;"&amp;A";"Page &amp;P"}</definedName>
    <definedName name="_wq2">{0;0;0;0;1;#N/A;0.5;0.5;0.75;0.75;2;TRUE;TRUE;FALSE;FALSE;FALSE;#N/A;1;#N/A;1;1;"&amp;L&amp;7 RAMIBD05\GROUPS\EMG\DESOUSA\BRAZIL\MACHADIB\MODEL\MODEL_12.XLS -- &amp;D, &amp;T -- Page &amp;P of &amp;N
&amp;7";"&amp;L&amp;F&amp;A&amp;RPage&amp;P"}</definedName>
    <definedName name="_wq3">{0;0;0;0;1;#N/A;0.5;0.5;0.75;0.75;2;TRUE;TRUE;FALSE;FALSE;FALSE;#N/A;1;#N/A;1;1;"&amp;L&amp;7 RAMIBD05\GROUPS\EMG\DESOUSA\BRAZIL\MACHADIB\MODEL\MODEL_12.XLS -- &amp;D, &amp;T -- Page &amp;P of &amp;N
&amp;7";"&amp;L&amp;F&amp;A&amp;RPage&amp;P"}</definedName>
    <definedName name="_wq4">{0;0;0;0;9;#N/A;0.75;0.75;1;1;1;FALSE;FALSE;FALSE;FALSE;FALSE;#N/A;1;100;#N/A;#N/A;"&amp;A";"Page &amp;P"}</definedName>
    <definedName name="_wq5">{0;0;0;0;9;#N/A;0.75;0.75;1;1;1;FALSE;FALSE;FALSE;FALSE;FALSE;#N/A;1;100;#N/A;#N/A;"&amp;A";"Page &amp;P"}</definedName>
    <definedName name="_wq6">{0;0;0;0;9;#N/A;0.75;0.75;1;1;1;FALSE;FALSE;FALSE;FALSE;FALSE;#N/A;1;100;#N/A;#N/A;"&amp;A";"Page &amp;P"}</definedName>
    <definedName name="_wq7">{0;0;0;0;1;#N/A;0.5;0.5;0.75;0.75;2;TRUE;TRUE;FALSE;FALSE;FALSE;#N/A;1;56;#N/A;#N/A;"&amp;L&amp;7 RAMIBD05\GROUPS\EMG\DESOUSA\BRAZIL\MACHADIB\MODEL\MODEL_20.XLS -- &amp;D, &amp;T -- Page 7 of 9
Machadinho Project
&amp;R&amp;""Arial,Italic""Confidential";"&amp;L&amp;F&amp;A&amp;RPage 7"}</definedName>
    <definedName name="_wq8">{0;0;0;0;1;#N/A;0.5;0.5;0.75;0.75;2;TRUE;TRUE;FALSE;FALSE;FALSE;#N/A;1;56;#N/A;#N/A;"&amp;L&amp;7 RAMIBD05\GROUPS\EMG\DESOUSA\BRAZIL\MACHADIB\MODEL\MODEL_20.XLS -- &amp;D, &amp;T -- Page 8 of 9
Machadinho Project
&amp;R&amp;""Arial,Italic""Confidential";"&amp;L&amp;F&amp;A&amp;RPage 8"}</definedName>
    <definedName name="_Z1srAssp">{0;0;0;0;1;#N/A;0.5;0.5;0.75;0.75;2;TRUE;TRUE;FALSE;FALSE;FALSE;#N/A;1;#N/A;1;1;"&amp;L&amp;7 RAMIBD05\GROUPS\EMG\DESOUSA\BRAZIL\MACHADIB\MODEL\MODEL_12.XLS -- &amp;D, &amp;T -- Page &amp;P of &amp;N
&amp;7";"&amp;L&amp;F&amp;A&amp;RPage&amp;P"}</definedName>
    <definedName name="_Z2ndAssp">{0;0;0;0;1;#N/A;0.5;0.5;0.75;0.75;2;TRUE;TRUE;FALSE;FALSE;FALSE;#N/A;1;#N/A;1;1;"&amp;L&amp;7 RAMIBD05\GROUPS\EMG\DESOUSA\BRAZIL\MACHADIB\MODEL\MODEL_12.XLS -- &amp;D, &amp;T -- Page &amp;P of &amp;N
&amp;7";"&amp;L&amp;F&amp;A&amp;RPage&amp;P"}</definedName>
    <definedName name="_Z2srAssp">{0;0;0;0;1;#N/A;0.5;0.5;0.75;0.75;2;TRUE;TRUE;FALSE;FALSE;FALSE;#N/A;1;#N/A;1;1;"&amp;L&amp;7 RAMIBD05\GROUPS\EMG\DESOUSA\BRAZIL\MACHADIB\MODEL\MODEL_12.XLS -- &amp;D, &amp;T -- Page &amp;P of &amp;N
&amp;7";"&amp;L&amp;F&amp;A&amp;RPage&amp;P"}</definedName>
    <definedName name="_Z3rdassp">{0;0;0;0;1;#N/A;0.5;0.5;0.75;0.75;2;TRUE;TRUE;FALSE;FALSE;FALSE;#N/A;1;#N/A;1;1;"&amp;L&amp;7 RAMIBD05\GROUPS\EMG\DESOUSA\BRAZIL\MACHADIB\MODEL\MODEL_12.XLS -- &amp;D, &amp;T -- Page &amp;P of &amp;N
&amp;7";"&amp;L&amp;F&amp;A&amp;RPage&amp;P"}</definedName>
    <definedName name="_Z3reAssp">{0;0;0;0;1;#N/A;0.5;0.5;0.75;0.75;2;TRUE;TRUE;FALSE;FALSE;FALSE;#N/A;1;#N/A;1;1;"&amp;L&amp;7 RAMIBD05\GROUPS\EMG\DESOUSA\BRAZIL\MACHADIB\MODEL\MODEL_12.XLS -- &amp;D, &amp;T -- Page &amp;P of &amp;N
&amp;7";"&amp;L&amp;F&amp;A&amp;RPage&amp;P"}</definedName>
    <definedName name="_ZBalance">{0;0;0;0;9;#N/A;0.75;0.75;1;1;1;FALSE;FALSE;FALSE;FALSE;FALSE;#N/A;1;100;#N/A;#N/A;"&amp;A";"Page &amp;P"}</definedName>
    <definedName name="_ZCash">{0;0;0;0;9;#N/A;0.75;0.75;1;1;1;FALSE;FALSE;FALSE;FALSE;FALSE;#N/A;1;100;#N/A;#N/A;"&amp;A";"Page &amp;P"}</definedName>
    <definedName name="_ZDebt">{0;0;0;0;9;#N/A;0.75;0.75;1;1;1;FALSE;FALSE;FALSE;FALSE;FALSE;#N/A;1;100;#N/A;#N/A;"&amp;A";"Page &amp;P"}</definedName>
    <definedName name="_Zdebt1">{0;0;0;0;1;#N/A;0.5;0.5;0.75;0.75;2;TRUE;TRUE;FALSE;FALSE;FALSE;#N/A;1;56;#N/A;#N/A;"&amp;L&amp;7 RAMIBD05\GROUPS\EMG\DESOUSA\BRAZIL\MACHADIB\MODEL\MODEL_20.XLS -- &amp;D, &amp;T -- Page 7 of 9
Machadinho Project
&amp;R&amp;""Arial,Italic""Confidential";"&amp;L&amp;F&amp;A&amp;RPage 7"}</definedName>
    <definedName name="_Zdebt2">{0;0;0;0;1;#N/A;0.5;0.5;0.75;0.75;2;TRUE;TRUE;FALSE;FALSE;FALSE;#N/A;1;56;#N/A;#N/A;"&amp;L&amp;7 RAMIBD05\GROUPS\EMG\DESOUSA\BRAZIL\MACHADIB\MODEL\MODEL_20.XLS -- &amp;D, &amp;T -- Page 8 of 9
Machadinho Project
&amp;R&amp;""Arial,Italic""Confidential";"&amp;L&amp;F&amp;A&amp;RPage 8"}</definedName>
    <definedName name="_ZDeprec.">{0;0;0;0;258;#N/A;0.75;0.75;1;1;2;FALSE;FALSE;FALSE;FALSE;FALSE;#N/A;1;#N/A;1;1;"&amp;A";"Page &amp;P"}</definedName>
    <definedName name="a">{0;0;0;0;1;#N/A;0.5;0.5;0.75;0.75;2;TRUE;TRUE;FALSE;FALSE;FALSE;#N/A;1;#N/A;1;1;"&amp;L&amp;7 RAMIBD05\GROUPS\EMG\DESOUSA\BRAZIL\MACHADIB\MODEL\MODEL_12.XLS -- &amp;D, &amp;T -- Page &amp;P of &amp;N
&amp;7";"&amp;L&amp;F&amp;A&amp;RPage&amp;P"}</definedName>
    <definedName name="aaaaaaaaaa">{0;0;0;0;1;#N/A;0.5;0.5;0.75;0.75;2;TRUE;TRUE;FALSE;FALSE;FALSE;#N/A;1;#N/A;1;1;"&amp;L&amp;7 RAMIBD05\GROUPS\EMG\DESOUSA\BRAZIL\MACHADIB\MODEL\MODEL_12.XLS -- &amp;D, &amp;T -- Page &amp;P of &amp;N
&amp;7";"&amp;L&amp;F&amp;A&amp;RPage&amp;P"}</definedName>
    <definedName name="Additional_Equity">#REF!</definedName>
    <definedName name="aepg2base">#REF!</definedName>
    <definedName name="AIR">#REF!</definedName>
    <definedName name="amortizaciones" hidden="1">{#N/A,#N/A,TRUE,"TOC";#N/A,#N/A,TRUE,"Inputs";#N/A,#N/A,TRUE,"Debt";#N/A,#N/A,TRUE,"CashFlo";#N/A,#N/A,TRUE,"Prices";#N/A,#N/A,TRUE,"Operations";#N/A,#N/A,TRUE,"GAAP Income";#N/A,#N/A,TRUE,"GAAP Balance";#N/A,#N/A,TRUE,"D&amp;A";#N/A,#N/A,TRUE,"Revolving Working Capital";#N/A,#N/A,TRUE,"Work.Cap.";#N/A,#N/A,TRUE,"Tax Inputs";#N/A,#N/A,TRUE,"Ven Cash Flow";#N/A,#N/A,TRUE,"Ven Income Tax";#N/A,#N/A,TRUE,"Ven Vat";#N/A,#N/A,TRUE,"Ven Balance"}</definedName>
    <definedName name="Analise">#REF!</definedName>
    <definedName name="anscount" hidden="1">1</definedName>
    <definedName name="aq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_xlnm.Print_Area" localSheetId="23">'Q15-FCD'!$A$1:$L$47</definedName>
    <definedName name="_xlnm.Print_Area">#REF!</definedName>
    <definedName name="as" hidden="1">{#N/A,#N/A,TRUE,"TOC";#N/A,#N/A,TRUE,"Inputs";#N/A,#N/A,TRUE,"Debt";#N/A,#N/A,TRUE,"CashFlo";#N/A,#N/A,TRUE,"Prices";#N/A,#N/A,TRUE,"Operations";#N/A,#N/A,TRUE,"GAAP Income";#N/A,#N/A,TRUE,"GAAP Balance";#N/A,#N/A,TRUE,"D&amp;A";#N/A,#N/A,TRUE,"Revolving Working Capital";#N/A,#N/A,TRUE,"Work.Cap.";#N/A,#N/A,TRUE,"Tax Inputs";#N/A,#N/A,TRUE,"Ven Cash Flow";#N/A,#N/A,TRUE,"Ven Income Tax";#N/A,#N/A,TRUE,"Ven Vat";#N/A,#N/A,TRUE,"Ven Balance"}</definedName>
    <definedName name="Assiette">'[3]Synthèse I Crédit-Fab'!$C$39</definedName>
    <definedName name="ASTPP" localSheetId="16">[4]NTB!#REF!</definedName>
    <definedName name="ASTPP" localSheetId="17">[4]NTB!#REF!</definedName>
    <definedName name="ASTPP" localSheetId="18">[4]NTB!#REF!</definedName>
    <definedName name="ASTPP" localSheetId="7">[4]NTB!#REF!</definedName>
    <definedName name="ASTPP" localSheetId="8">[4]NTB!#REF!</definedName>
    <definedName name="ASTPP" localSheetId="9">[4]NTB!#REF!</definedName>
    <definedName name="ASTPP" localSheetId="10">[4]NTB!#REF!</definedName>
    <definedName name="ASTPP" localSheetId="14">[4]NTB!#REF!</definedName>
    <definedName name="ASTPP" localSheetId="15">[4]NTB!#REF!</definedName>
    <definedName name="ASTPP">[4]NTB!#REF!</definedName>
    <definedName name="ATS">#REF!</definedName>
    <definedName name="Austria_100_ATS">#REF!</definedName>
    <definedName name="AVI">#REF!</definedName>
    <definedName name="AX">#REF!</definedName>
    <definedName name="b">{0;0;0;0;9;#N/A;0.75;0.75;1;1;1;FALSE;FALSE;FALSE;FALSE;FALSE;#N/A;1;100;#N/A;#N/A;"&amp;A";"Page &amp;P"}</definedName>
    <definedName name="balance" hidden="1">{#N/A,#N/A,TRUE,"TOC";#N/A,#N/A,TRUE,"Inputs";#N/A,#N/A,TRUE,"Debt";#N/A,#N/A,TRUE,"CashFlo";#N/A,#N/A,TRUE,"Prices";#N/A,#N/A,TRUE,"Operations";#N/A,#N/A,TRUE,"GAAP Income";#N/A,#N/A,TRUE,"GAAP Balance";#N/A,#N/A,TRUE,"D&amp;A";#N/A,#N/A,TRUE,"Revolving Working Capital";#N/A,#N/A,TRUE,"Work.Cap.";#N/A,#N/A,TRUE,"Tax Inputs";#N/A,#N/A,TRUE,"Ven Cash Flow";#N/A,#N/A,TRUE,"Ven Income Tax";#N/A,#N/A,TRUE,"Ven Vat";#N/A,#N/A,TRUE,"Ven Balance"}</definedName>
    <definedName name="_xlnm.Database">#REF!</definedName>
    <definedName name="BankLeague">#REF!</definedName>
    <definedName name="base">#REF!</definedName>
    <definedName name="BASE_PARA_ECOFIN">#REF!</definedName>
    <definedName name="BDI">#REF!</definedName>
    <definedName name="BEF">#REF!</definedName>
    <definedName name="beg">[5]Dados!$D$19</definedName>
    <definedName name="Belgium_100_BEF">#REF!</definedName>
    <definedName name="BLPH1" localSheetId="16" hidden="1">#REF!</definedName>
    <definedName name="BLPH1" localSheetId="17" hidden="1">#REF!</definedName>
    <definedName name="BLPH1" localSheetId="18" hidden="1">#REF!</definedName>
    <definedName name="BLPH1" localSheetId="7" hidden="1">#REF!</definedName>
    <definedName name="BLPH1" localSheetId="8" hidden="1">#REF!</definedName>
    <definedName name="BLPH1" localSheetId="9" hidden="1">#REF!</definedName>
    <definedName name="BLPH1" localSheetId="10" hidden="1">#REF!</definedName>
    <definedName name="BLPH1" localSheetId="14" hidden="1">#REF!</definedName>
    <definedName name="BLPH1" localSheetId="15" hidden="1">#REF!</definedName>
    <definedName name="BLPH1" hidden="1">#REF!</definedName>
    <definedName name="BLPH2" localSheetId="16" hidden="1">#REF!</definedName>
    <definedName name="BLPH2" localSheetId="17" hidden="1">#REF!</definedName>
    <definedName name="BLPH2" localSheetId="18" hidden="1">#REF!</definedName>
    <definedName name="BLPH2" localSheetId="7" hidden="1">#REF!</definedName>
    <definedName name="BLPH2" localSheetId="8" hidden="1">#REF!</definedName>
    <definedName name="BLPH2" localSheetId="9" hidden="1">#REF!</definedName>
    <definedName name="BLPH2" localSheetId="10" hidden="1">#REF!</definedName>
    <definedName name="BLPH2" localSheetId="14" hidden="1">#REF!</definedName>
    <definedName name="BLPH2" localSheetId="15" hidden="1">#REF!</definedName>
    <definedName name="BLPH2" hidden="1">#REF!</definedName>
    <definedName name="BLPH3" hidden="1">#REF!</definedName>
    <definedName name="BLPH4" hidden="1">#REF!</definedName>
    <definedName name="BLPH5" hidden="1">#REF!</definedName>
    <definedName name="BNDES" localSheetId="16">#REF!</definedName>
    <definedName name="BNDES" localSheetId="17">#REF!</definedName>
    <definedName name="BNDES" localSheetId="18">#REF!</definedName>
    <definedName name="BNDES" localSheetId="7">#REF!</definedName>
    <definedName name="BNDES" localSheetId="8">#REF!</definedName>
    <definedName name="BNDES" localSheetId="9">#REF!</definedName>
    <definedName name="BNDES" localSheetId="10">#REF!</definedName>
    <definedName name="BNDES" localSheetId="14">#REF!</definedName>
    <definedName name="BNDES" localSheetId="15">#REF!</definedName>
    <definedName name="BNDES">#REF!</definedName>
    <definedName name="BuiltIn_Print_Area">#REF!</definedName>
    <definedName name="BuiltIn_Print_Area___0">#REF!</definedName>
    <definedName name="BuiltIn_Print_Area___0___0">#REF!</definedName>
    <definedName name="BuiltIn_Print_Area___0___0___0">#REF!</definedName>
    <definedName name="BuiltIn_Print_Area___0___0___0___0">#REF!</definedName>
    <definedName name="BuiltIn_Print_Area___0___0___1">#REF!</definedName>
    <definedName name="BuiltIn_Print_Area___0___5">#REF!</definedName>
    <definedName name="BuiltIn_Print_Area___0___5___0">#REF!</definedName>
    <definedName name="BuiltIn_Print_Area___0___6">#REF!</definedName>
    <definedName name="BuiltIn_Print_Area___0___6___0">#REF!</definedName>
    <definedName name="BuiltIn_Print_Area___0___7">#REF!</definedName>
    <definedName name="BuiltIn_Print_Area___0___7___0">#REF!</definedName>
    <definedName name="BuiltIn_Print_Area___0___8">#REF!</definedName>
    <definedName name="BuiltIn_Print_Area___0___8___0">#REF!</definedName>
    <definedName name="BuiltIn_Print_Titles">#REF!</definedName>
    <definedName name="BuiltIn_Print_Titles___0">#REF!</definedName>
    <definedName name="BuiltIn_Print_Titles___0___0">#REF!</definedName>
    <definedName name="BuiltIn_Print_Titles___0___0___0">#REF!</definedName>
    <definedName name="BuiltIn_Print_Titles___0___0___0___0">#REF!</definedName>
    <definedName name="BuiltIn_Print_Titles___0___0___1">#REF!</definedName>
    <definedName name="BuiltIn_Print_Titles___0___5">#REF!</definedName>
    <definedName name="BuiltIn_Print_Titles___0___5___0">#REF!</definedName>
    <definedName name="BuiltIn_Print_Titles___0___6">#REF!</definedName>
    <definedName name="BuiltIn_Print_Titles___0___6___0">#REF!</definedName>
    <definedName name="BuiltIn_Print_Titles___0___7">#REF!</definedName>
    <definedName name="BuiltIn_Print_Titles___0___7___0">#REF!</definedName>
    <definedName name="BuiltIn_Print_Titles___0___8">#REF!</definedName>
    <definedName name="BuiltIn_Print_Titles___0___8___0">#REF!</definedName>
    <definedName name="BuiltIn_Print_Titles___5___5">#REF!</definedName>
    <definedName name="BuiltIn_Print_Titles___5___5___0">#REF!</definedName>
    <definedName name="BuiltIn_Print_Titles___6___6">#REF!</definedName>
    <definedName name="BuiltIn_Print_Titles___6___6___0">#REF!</definedName>
    <definedName name="C_EUR">[6]ON_EqEUR!$M$8</definedName>
    <definedName name="cant">#REF!</definedName>
    <definedName name="cap" localSheetId="16">[5]Dados!#REF!</definedName>
    <definedName name="cap" localSheetId="17">[5]Dados!#REF!</definedName>
    <definedName name="cap" localSheetId="18">[5]Dados!#REF!</definedName>
    <definedName name="cap" localSheetId="7">[5]Dados!#REF!</definedName>
    <definedName name="cap" localSheetId="8">[5]Dados!#REF!</definedName>
    <definedName name="cap" localSheetId="9">[5]Dados!#REF!</definedName>
    <definedName name="cap" localSheetId="10">[5]Dados!#REF!</definedName>
    <definedName name="cap" localSheetId="14">[5]Dados!#REF!</definedName>
    <definedName name="cap" localSheetId="15">[5]Dados!#REF!</definedName>
    <definedName name="cap">[5]Dados!#REF!</definedName>
    <definedName name="CatPays">'[3]Classification Pays'!$A$8:$B$196</definedName>
    <definedName name="cd">{0;0;0;0;1;#N/A;0.5;0.5;0.75;0.75;2;TRUE;TRUE;FALSE;FALSE;FALSE;#N/A;1;56;#N/A;#N/A;"&amp;L&amp;7 RAMIBD05\GROUPS\EMG\DESOUSA\BRAZIL\MACHADIB\MODEL\MODEL_20.XLS -- &amp;D, &amp;T -- Page 8 of 9
Machadinho Project
&amp;R&amp;""Arial,Italic""Confidential";"&amp;L&amp;F&amp;A&amp;RPage 8"}</definedName>
    <definedName name="Centrais_de_Processamento">#REF!</definedName>
    <definedName name="cesta" localSheetId="16">#REF!</definedName>
    <definedName name="cesta" localSheetId="17">#REF!</definedName>
    <definedName name="cesta" localSheetId="18">#REF!</definedName>
    <definedName name="cesta" localSheetId="7">#REF!</definedName>
    <definedName name="cesta" localSheetId="8">#REF!</definedName>
    <definedName name="cesta" localSheetId="9">#REF!</definedName>
    <definedName name="cesta" localSheetId="10">#REF!</definedName>
    <definedName name="cesta" localSheetId="14">#REF!</definedName>
    <definedName name="cesta" localSheetId="15">#REF!</definedName>
    <definedName name="cesta">#REF!</definedName>
    <definedName name="co">[5]Dados!$D$22</definedName>
    <definedName name="cod">[5]Dados!$D$22</definedName>
    <definedName name="coef10" localSheetId="16">[7]Total!#REF!</definedName>
    <definedName name="coef10" localSheetId="17">[7]Total!#REF!</definedName>
    <definedName name="coef10" localSheetId="18">[7]Total!#REF!</definedName>
    <definedName name="coef10" localSheetId="7">[7]Total!#REF!</definedName>
    <definedName name="coef10" localSheetId="8">[7]Total!#REF!</definedName>
    <definedName name="coef10" localSheetId="9">[7]Total!#REF!</definedName>
    <definedName name="coef10" localSheetId="10">[7]Total!#REF!</definedName>
    <definedName name="coef10" localSheetId="14">[7]Total!#REF!</definedName>
    <definedName name="coef10" localSheetId="15">[7]Total!#REF!</definedName>
    <definedName name="coef10">[7]Total!#REF!</definedName>
    <definedName name="coef11">#REF!</definedName>
    <definedName name="coeff11">#REF!</definedName>
    <definedName name="comercial">#REF!</definedName>
    <definedName name="Commited">#REF!</definedName>
    <definedName name="Consulta1">#REF!</definedName>
    <definedName name="cont">#REF!</definedName>
    <definedName name="_xlnm.Criteria" localSheetId="16">#REF!</definedName>
    <definedName name="_xlnm.Criteria" localSheetId="17">#REF!</definedName>
    <definedName name="_xlnm.Criteria" localSheetId="18">#REF!</definedName>
    <definedName name="_xlnm.Criteria" localSheetId="7">#REF!</definedName>
    <definedName name="_xlnm.Criteria" localSheetId="8">#REF!</definedName>
    <definedName name="_xlnm.Criteria" localSheetId="9">#REF!</definedName>
    <definedName name="_xlnm.Criteria" localSheetId="10">#REF!</definedName>
    <definedName name="_xlnm.Criteria" localSheetId="14">#REF!</definedName>
    <definedName name="_xlnm.Criteria" localSheetId="15">#REF!</definedName>
    <definedName name="_xlnm.Criteria">#REF!</definedName>
    <definedName name="CS">#REF!</definedName>
    <definedName name="CUSTO_DAS_DESAPROPRIAÇÕES">#REF!</definedName>
    <definedName name="D">[8]Assumptions!$B$30</definedName>
    <definedName name="DADOS">#REF!</definedName>
    <definedName name="DANIEL">{0;0;0;0;1;#N/A;0.5;0.5;0.75;0.75;2;TRUE;TRUE;FALSE;FALSE;FALSE;#N/A;1;#N/A;1;1;"&amp;L&amp;7 RAMIBD05\GROUPS\EMG\DESOUSA\BRAZIL\MACHADIB\MODEL\MODEL_12.XLS -- &amp;D, &amp;T -- Page &amp;P of &amp;N
&amp;7";"&amp;L&amp;F&amp;A&amp;RPage&amp;P"}</definedName>
    <definedName name="DANIEL2">{0;0;0;0;1;#N/A;0.5;0.5;0.75;0.75;2;TRUE;TRUE;FALSE;FALSE;FALSE;#N/A;1;#N/A;1;1;"&amp;L&amp;7 RAMIBD05\GROUPS\EMG\DESOUSA\BRAZIL\MACHADIB\MODEL\MODEL_12.XLS -- &amp;D, &amp;T -- Page &amp;P of &amp;N
&amp;7";"&amp;L&amp;F&amp;A&amp;RPage&amp;P"}</definedName>
    <definedName name="ddd" hidden="1">{#N/A,#N/A,FALSE,"General";#N/A,#N/A,FALSE,"DMU";#N/A,#N/A,FALSE,"Breakdown";#N/A,#N/A,FALSE,"Traction";#N/A,#N/A,FALSE,"Bogie &amp; Carbody";#N/A,#N/A,FALSE,"Auxiliaries";#N/A,#N/A,FALSE,"Braking";#N/A,#N/A,FALSE,"Electric";#N/A,#N/A,FALSE,"Comfort";#N/A,#N/A,FALSE,"Interiors";#N/A,#N/A,FALSE,"Exterior"}</definedName>
    <definedName name="dds">{0;0;0;0;1;#N/A;0.5;0.5;0.75;0.75;2;TRUE;TRUE;FALSE;FALSE;FALSE;#N/A;1;#N/A;1;1;"&amp;L&amp;7 RAMIBD05\GROUPS\EMG\DESOUSA\BRAZIL\MACHADIB\MODEL\MODEL_12.XLS -- &amp;D, &amp;T -- Page &amp;P of &amp;N
&amp;7";"&amp;L&amp;F&amp;A&amp;RPage&amp;P"}</definedName>
    <definedName name="DEM">#REF!</definedName>
    <definedName name="Depreciação">#REF!</definedName>
    <definedName name="depreciaciones" hidden="1">{#N/A,#N/A,TRUE,"TOC";#N/A,#N/A,TRUE,"Inputs";#N/A,#N/A,TRUE,"Debt";#N/A,#N/A,TRUE,"CashFlo";#N/A,#N/A,TRUE,"Prices";#N/A,#N/A,TRUE,"Operations";#N/A,#N/A,TRUE,"GAAP Income";#N/A,#N/A,TRUE,"GAAP Balance";#N/A,#N/A,TRUE,"D&amp;A";#N/A,#N/A,TRUE,"Revolving Working Capital";#N/A,#N/A,TRUE,"Work.Cap.";#N/A,#N/A,TRUE,"Tax Inputs";#N/A,#N/A,TRUE,"Ven Cash Flow";#N/A,#N/A,TRUE,"Ven Income Tax";#N/A,#N/A,TRUE,"Ven Vat";#N/A,#N/A,TRUE,"Ven Balance"}</definedName>
    <definedName name="DETALLE">#REF!</definedName>
    <definedName name="deuda" hidden="1">{#N/A,#N/A,TRUE,"TOC";#N/A,#N/A,TRUE,"Inputs";#N/A,#N/A,TRUE,"Debt";#N/A,#N/A,TRUE,"CashFlo";#N/A,#N/A,TRUE,"Prices";#N/A,#N/A,TRUE,"Operations";#N/A,#N/A,TRUE,"GAAP Income";#N/A,#N/A,TRUE,"GAAP Balance";#N/A,#N/A,TRUE,"D&amp;A";#N/A,#N/A,TRUE,"Revolving Working Capital";#N/A,#N/A,TRUE,"Work.Cap.";#N/A,#N/A,TRUE,"Tax Inputs";#N/A,#N/A,TRUE,"Ven Cash Flow";#N/A,#N/A,TRUE,"Ven Income Tax";#N/A,#N/A,TRUE,"Ven Vat";#N/A,#N/A,TRUE,"Ven Balance"}</definedName>
    <definedName name="deudasmes" hidden="1">{#N/A,#N/A,TRUE,"TOC";#N/A,#N/A,TRUE,"Inputs";#N/A,#N/A,TRUE,"Debt";#N/A,#N/A,TRUE,"CashFlo";#N/A,#N/A,TRUE,"Prices";#N/A,#N/A,TRUE,"Operations";#N/A,#N/A,TRUE,"GAAP Income";#N/A,#N/A,TRUE,"GAAP Balance";#N/A,#N/A,TRUE,"D&amp;A";#N/A,#N/A,TRUE,"Revolving Working Capital";#N/A,#N/A,TRUE,"Work.Cap.";#N/A,#N/A,TRUE,"Tax Inputs";#N/A,#N/A,TRUE,"Ven Cash Flow";#N/A,#N/A,TRUE,"Ven Income Tax";#N/A,#N/A,TRUE,"Ven Vat";#N/A,#N/A,TRUE,"Ven Balance"}</definedName>
    <definedName name="Disbursed">#REF!</definedName>
    <definedName name="disp">#REF!</definedName>
    <definedName name="dmes">[9]tab!$B$40:$B$46</definedName>
    <definedName name="dollar" localSheetId="16">[10]Hypothèses!#REF!</definedName>
    <definedName name="dollar" localSheetId="17">[10]Hypothèses!#REF!</definedName>
    <definedName name="dollar" localSheetId="18">[10]Hypothèses!#REF!</definedName>
    <definedName name="dollar" localSheetId="7">[10]Hypothèses!#REF!</definedName>
    <definedName name="dollar" localSheetId="8">[10]Hypothèses!#REF!</definedName>
    <definedName name="dollar" localSheetId="9">[10]Hypothèses!#REF!</definedName>
    <definedName name="dollar" localSheetId="10">[10]Hypothèses!#REF!</definedName>
    <definedName name="dollar" localSheetId="14">[10]Hypothèses!#REF!</definedName>
    <definedName name="dollar" localSheetId="15">[10]Hypothèses!#REF!</definedName>
    <definedName name="dollar">[10]Hypothèses!#REF!</definedName>
    <definedName name="dren">#REF!</definedName>
    <definedName name="ds">{0;0;0;0;258;#N/A;0.75;0.75;1;1;2;FALSE;FALSE;FALSE;FALSE;FALSE;#N/A;1;#N/A;1;1;"&amp;A";"Page &amp;P"}</definedName>
    <definedName name="DSRA">#REF!</definedName>
    <definedName name="ede">{0;0;0;0;9;#N/A;0.75;0.75;1;1;1;FALSE;FALSE;FALSE;FALSE;FALSE;#N/A;1;100;#N/A;#N/A;"&amp;A";"Page &amp;P"}</definedName>
    <definedName name="EMOP">#REF!</definedName>
    <definedName name="end">[5]Dados!$D$25</definedName>
    <definedName name="Equipamentos_Embarcados">#REF!</definedName>
    <definedName name="Equity_IRR_Nominal">#REF!</definedName>
    <definedName name="Equity_IRR_Real">#REF!</definedName>
    <definedName name="ESP">#REF!</definedName>
    <definedName name="Etudes">[11]DE!$H$1</definedName>
    <definedName name="Euro">#REF!</definedName>
    <definedName name="euro1">#REF!</definedName>
    <definedName name="ExchangeRate_Currency1">[12]General!$C$12</definedName>
    <definedName name="Eyre________1_IEP">#REF!</definedName>
    <definedName name="f">#REF!</definedName>
    <definedName name="fa">#REF!</definedName>
    <definedName name="FDAY">#REF!</definedName>
    <definedName name="feieiei">#REF!</definedName>
    <definedName name="Fichier_Export">#REF!</definedName>
    <definedName name="FIM">#REF!</definedName>
    <definedName name="fin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Financ.Resumen" hidden="1">{#N/A,#N/A,TRUE,"TOC";#N/A,#N/A,TRUE,"Inputs";#N/A,#N/A,TRUE,"Debt";#N/A,#N/A,TRUE,"CashFlo";#N/A,#N/A,TRUE,"Prices";#N/A,#N/A,TRUE,"Operations";#N/A,#N/A,TRUE,"GAAP Income";#N/A,#N/A,TRUE,"GAAP Balance";#N/A,#N/A,TRUE,"D&amp;A";#N/A,#N/A,TRUE,"Revolving Working Capital";#N/A,#N/A,TRUE,"Work.Cap.";#N/A,#N/A,TRUE,"Tax Inputs";#N/A,#N/A,TRUE,"Ven Cash Flow";#N/A,#N/A,TRUE,"Ven Income Tax";#N/A,#N/A,TRUE,"Ven Vat";#N/A,#N/A,TRUE,"Ven Balance"}</definedName>
    <definedName name="Finland_100_FIM">#REF!</definedName>
    <definedName name="FLUXO_LÍQUIDO_1_Acumulado">#REF!</definedName>
    <definedName name="FLUXO_LÍQUIDO_2_Acumulado">#REF!</definedName>
    <definedName name="FO">[11]DE!$F$1</definedName>
    <definedName name="Forecast">#REF!</definedName>
    <definedName name="Frame_Data">#REF!</definedName>
    <definedName name="France_100_FRF">#REF!</definedName>
    <definedName name="FRF">#REF!</definedName>
    <definedName name="Germany_100_DEM">#REF!</definedName>
    <definedName name="Haircut">#REF!</definedName>
    <definedName name="HTML_CodePage" hidden="1">1252</definedName>
    <definedName name="HTML_Control" hidden="1">{"'Database'!$A$1:$F$130"}</definedName>
    <definedName name="HTML_Description" hidden="1">""</definedName>
    <definedName name="HTML_Email" hidden="1">""</definedName>
    <definedName name="HTML_Header" hidden="1">"WBS Model"</definedName>
    <definedName name="HTML_LastUpdate" hidden="1">"04/07/2001"</definedName>
    <definedName name="HTML_LineAfter" hidden="1">FALSE</definedName>
    <definedName name="HTML_LineBefore" hidden="1">FALSE</definedName>
    <definedName name="HTML_Name" hidden="1">"Christian Jousselin"</definedName>
    <definedName name="HTML_OBDlg2" hidden="1">TRUE</definedName>
    <definedName name="HTML_OBDlg4" hidden="1">TRUE</definedName>
    <definedName name="HTML_OS" hidden="1">0</definedName>
    <definedName name="HTML_PathFile" hidden="1">"C:\Mes Documents\Capital\management de projet\wbs\WBS.htm"</definedName>
    <definedName name="HTML_Title" hidden="1">"WBS"</definedName>
    <definedName name="iano">[9]tab!$B$39</definedName>
    <definedName name="IEP">#REF!</definedName>
    <definedName name="imp">#REF!</definedName>
    <definedName name="importados" localSheetId="16">#REF!</definedName>
    <definedName name="importados" localSheetId="17">#REF!</definedName>
    <definedName name="importados" localSheetId="18">#REF!</definedName>
    <definedName name="importados" localSheetId="7">#REF!</definedName>
    <definedName name="importados" localSheetId="8">#REF!</definedName>
    <definedName name="importados" localSheetId="9">#REF!</definedName>
    <definedName name="importados" localSheetId="10">#REF!</definedName>
    <definedName name="importados" localSheetId="14">#REF!</definedName>
    <definedName name="importados" localSheetId="15">#REF!</definedName>
    <definedName name="importados">#REF!</definedName>
    <definedName name="IMPRES">#REF!</definedName>
    <definedName name="Inflación" hidden="1">{#N/A,#N/A,TRUE,"TOC";#N/A,#N/A,TRUE,"Inputs";#N/A,#N/A,TRUE,"Debt";#N/A,#N/A,TRUE,"CashFlo";#N/A,#N/A,TRUE,"Prices";#N/A,#N/A,TRUE,"Operations";#N/A,#N/A,TRUE,"GAAP Income";#N/A,#N/A,TRUE,"GAAP Balance";#N/A,#N/A,TRUE,"D&amp;A";#N/A,#N/A,TRUE,"Revolving Working Capital";#N/A,#N/A,TRUE,"Work.Cap.";#N/A,#N/A,TRUE,"Tax Inputs";#N/A,#N/A,TRUE,"Ven Cash Flow";#N/A,#N/A,TRUE,"Ven Income Tax";#N/A,#N/A,TRUE,"Ven Vat";#N/A,#N/A,TRUE,"Ven Balance"}</definedName>
    <definedName name="Initial_Equity">#REF!</definedName>
    <definedName name="inv" hidden="1">{#N/A,#N/A,TRUE,"TOC";#N/A,#N/A,TRUE,"Inputs";#N/A,#N/A,TRUE,"Debt";#N/A,#N/A,TRUE,"CashFlo";#N/A,#N/A,TRUE,"Prices";#N/A,#N/A,TRUE,"Operations";#N/A,#N/A,TRUE,"GAAP Income";#N/A,#N/A,TRUE,"GAAP Balance";#N/A,#N/A,TRUE,"D&amp;A";#N/A,#N/A,TRUE,"Revolving Working Capital";#N/A,#N/A,TRUE,"Work.Cap.";#N/A,#N/A,TRUE,"Tax Inputs";#N/A,#N/A,TRUE,"Ven Cash Flow";#N/A,#N/A,TRUE,"Ven Income Tax";#N/A,#N/A,TRUE,"Ven Vat";#N/A,#N/A,TRUE,"Ven Balance"}</definedName>
    <definedName name="INV_1">"H5"</definedName>
    <definedName name="inver" hidden="1">{#N/A,#N/A,TRUE,"TOC";#N/A,#N/A,TRUE,"Inputs";#N/A,#N/A,TRUE,"Debt";#N/A,#N/A,TRUE,"CashFlo";#N/A,#N/A,TRUE,"Prices";#N/A,#N/A,TRUE,"Operations";#N/A,#N/A,TRUE,"GAAP Income";#N/A,#N/A,TRUE,"GAAP Balance";#N/A,#N/A,TRUE,"D&amp;A";#N/A,#N/A,TRUE,"Revolving Working Capital";#N/A,#N/A,TRUE,"Work.Cap.";#N/A,#N/A,TRUE,"Tax Inputs";#N/A,#N/A,TRUE,"Ven Cash Flow";#N/A,#N/A,TRUE,"Ven Income Tax";#N/A,#N/A,TRUE,"Ven Vat";#N/A,#N/A,TRUE,"Ven Balance"}</definedName>
    <definedName name="inversion" hidden="1">{#N/A,#N/A,TRUE,"TOC";#N/A,#N/A,TRUE,"Inputs";#N/A,#N/A,TRUE,"Debt";#N/A,#N/A,TRUE,"CashFlo";#N/A,#N/A,TRUE,"Prices";#N/A,#N/A,TRUE,"Operations";#N/A,#N/A,TRUE,"GAAP Income";#N/A,#N/A,TRUE,"GAAP Balance";#N/A,#N/A,TRUE,"D&amp;A";#N/A,#N/A,TRUE,"Revolving Working Capital";#N/A,#N/A,TRUE,"Work.Cap.";#N/A,#N/A,TRUE,"Tax Inputs";#N/A,#N/A,TRUE,"Ven Cash Flow";#N/A,#N/A,TRUE,"Ven Income Tax";#N/A,#N/A,TRUE,"Ven Vat";#N/A,#N/A,TRUE,"Ven Balance"}</definedName>
    <definedName name="Inversión" hidden="1">{#N/A,#N/A,TRUE,"TOC";#N/A,#N/A,TRUE,"Inputs";#N/A,#N/A,TRUE,"Debt";#N/A,#N/A,TRUE,"CashFlo";#N/A,#N/A,TRUE,"Prices";#N/A,#N/A,TRUE,"Operations";#N/A,#N/A,TRUE,"GAAP Income";#N/A,#N/A,TRUE,"GAAP Balance";#N/A,#N/A,TRUE,"D&amp;A";#N/A,#N/A,TRUE,"Revolving Working Capital";#N/A,#N/A,TRUE,"Work.Cap.";#N/A,#N/A,TRUE,"Tax Inputs";#N/A,#N/A,TRUE,"Ven Cash Flow";#N/A,#N/A,TRUE,"Ven Income Tax";#N/A,#N/A,TRUE,"Ven Vat";#N/A,#N/A,TRUE,"Ven Balance"}</definedName>
    <definedName name="inversiones" hidden="1">{#N/A,#N/A,TRUE,"TOC";#N/A,#N/A,TRUE,"Inputs";#N/A,#N/A,TRUE,"Debt";#N/A,#N/A,TRUE,"CashFlo";#N/A,#N/A,TRUE,"Prices";#N/A,#N/A,TRUE,"Operations";#N/A,#N/A,TRUE,"GAAP Income";#N/A,#N/A,TRUE,"GAAP Balance";#N/A,#N/A,TRUE,"D&amp;A";#N/A,#N/A,TRUE,"Revolving Working Capital";#N/A,#N/A,TRUE,"Work.Cap.";#N/A,#N/A,TRUE,"Tax Inputs";#N/A,#N/A,TRUE,"Ven Cash Flow";#N/A,#N/A,TRUE,"Ven Income Tax";#N/A,#N/A,TRUE,"Ven Vat";#N/A,#N/A,TRUE,"Ven Balance"}</definedName>
    <definedName name="invest">#REF!</definedName>
    <definedName name="IR">#REF!</definedName>
    <definedName name="Italy______1000_ITL">#REF!</definedName>
    <definedName name="ITL">#REF!</definedName>
    <definedName name="K" localSheetId="16">'[13]PCP KXX'!#REF!</definedName>
    <definedName name="K" localSheetId="17">'[13]PCP KXX'!#REF!</definedName>
    <definedName name="K" localSheetId="18">'[13]PCP KXX'!#REF!</definedName>
    <definedName name="K" localSheetId="7">'[13]PCP KXX'!#REF!</definedName>
    <definedName name="K" localSheetId="8">'[13]PCP KXX'!#REF!</definedName>
    <definedName name="K" localSheetId="9">'[13]PCP KXX'!#REF!</definedName>
    <definedName name="K" localSheetId="10">'[13]PCP KXX'!#REF!</definedName>
    <definedName name="K" localSheetId="14">'[13]PCP KXX'!#REF!</definedName>
    <definedName name="K" localSheetId="15">'[13]PCP KXX'!#REF!</definedName>
    <definedName name="K">'[13]PCP KXX'!#REF!</definedName>
    <definedName name="ki">3</definedName>
    <definedName name="klo">#REF!</definedName>
    <definedName name="klr">#REF!</definedName>
    <definedName name="kmm">#REF!</definedName>
    <definedName name="kmo">#REF!</definedName>
    <definedName name="kmr">#REF!</definedName>
    <definedName name="Kms_forez">#REF!</definedName>
    <definedName name="kms_satrod">#REF!</definedName>
    <definedName name="kp">2</definedName>
    <definedName name="Kt" localSheetId="16">#REF!</definedName>
    <definedName name="Kt" localSheetId="17">#REF!</definedName>
    <definedName name="Kt" localSheetId="18">#REF!</definedName>
    <definedName name="Kt" localSheetId="7">#REF!</definedName>
    <definedName name="Kt" localSheetId="8">#REF!</definedName>
    <definedName name="Kt" localSheetId="9">#REF!</definedName>
    <definedName name="Kt" localSheetId="10">#REF!</definedName>
    <definedName name="Kt" localSheetId="14">#REF!</definedName>
    <definedName name="Kt" localSheetId="15">#REF!</definedName>
    <definedName name="Kt">#REF!</definedName>
    <definedName name="ku" localSheetId="16">_L9C2</definedName>
    <definedName name="ku" localSheetId="17">_L9C2</definedName>
    <definedName name="ku" localSheetId="18">_L9C2</definedName>
    <definedName name="ku" localSheetId="7">_L9C2</definedName>
    <definedName name="ku" localSheetId="8">_L9C2</definedName>
    <definedName name="ku" localSheetId="9">_L9C2</definedName>
    <definedName name="ku" localSheetId="10">_L9C2</definedName>
    <definedName name="ku" localSheetId="14">_L9C2</definedName>
    <definedName name="ku" localSheetId="15">_L9C2</definedName>
    <definedName name="ku">_L9C2</definedName>
    <definedName name="Kv">#REF!</definedName>
    <definedName name="LAIR">#REF!</definedName>
    <definedName name="lang">[5]Dados!$I$48</definedName>
    <definedName name="LeagueTrVal">#REF!</definedName>
    <definedName name="Lists">[14]lists!$A$3:$A$38</definedName>
    <definedName name="ll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LOGO">#N/A</definedName>
    <definedName name="LUF">#REF!</definedName>
    <definedName name="Luxembourg_100_LUF">#REF!</definedName>
    <definedName name="M">#REF!</definedName>
    <definedName name="Mão_de_Obra">#REF!</definedName>
    <definedName name="marge" localSheetId="16">'[15]BILAN COUT O&amp;M'!#REF!</definedName>
    <definedName name="marge" localSheetId="17">'[15]BILAN COUT O&amp;M'!#REF!</definedName>
    <definedName name="marge" localSheetId="18">'[15]BILAN COUT O&amp;M'!#REF!</definedName>
    <definedName name="marge" localSheetId="7">'[15]BILAN COUT O&amp;M'!#REF!</definedName>
    <definedName name="marge" localSheetId="8">'[15]BILAN COUT O&amp;M'!#REF!</definedName>
    <definedName name="marge" localSheetId="9">'[15]BILAN COUT O&amp;M'!#REF!</definedName>
    <definedName name="marge" localSheetId="10">'[15]BILAN COUT O&amp;M'!#REF!</definedName>
    <definedName name="marge" localSheetId="14">'[15]BILAN COUT O&amp;M'!#REF!</definedName>
    <definedName name="marge" localSheetId="15">'[15]BILAN COUT O&amp;M'!#REF!</definedName>
    <definedName name="marge">'[15]BILAN COUT O&amp;M'!#REF!</definedName>
    <definedName name="mesa">[9]tab!$B$3</definedName>
    <definedName name="mesc">[9]tab!$J$3</definedName>
    <definedName name="Min_DSCR">#REF!</definedName>
    <definedName name="Min_LLCR">#REF!</definedName>
    <definedName name="Min_PLCR">#REF!</definedName>
    <definedName name="mmmmm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MO">[11]DE!$J$1</definedName>
    <definedName name="Monnaie">[16]LOC!$BW$2</definedName>
    <definedName name="Multiplier_Capex">#REF!</definedName>
    <definedName name="Multiplier_Opex">#REF!</definedName>
    <definedName name="Multiplier_Revenue">#REF!</definedName>
    <definedName name="n_navios_min">'[17]Grafico Cntr'!$D$3</definedName>
    <definedName name="Netherlands_100_NLG">#REF!</definedName>
    <definedName name="NLG">#REF!</definedName>
    <definedName name="nnn">#REF!</definedName>
    <definedName name="OA" hidden="1">{#N/A,#N/A,TRUE,"TOC";#N/A,#N/A,TRUE,"Inputs";#N/A,#N/A,TRUE,"Debt";#N/A,#N/A,TRUE,"CashFlo";#N/A,#N/A,TRUE,"Prices";#N/A,#N/A,TRUE,"Operations";#N/A,#N/A,TRUE,"GAAP Income";#N/A,#N/A,TRUE,"GAAP Balance";#N/A,#N/A,TRUE,"D&amp;A";#N/A,#N/A,TRUE,"Revolving Working Capital";#N/A,#N/A,TRUE,"Work.Cap.";#N/A,#N/A,TRUE,"Tax Inputs";#N/A,#N/A,TRUE,"Ven Cash Flow";#N/A,#N/A,TRUE,"Ven Income Tax";#N/A,#N/A,TRUE,"Ven Vat";#N/A,#N/A,TRUE,"Ven Balance"}</definedName>
    <definedName name="oae">#REF!</definedName>
    <definedName name="OFICIAL">[18]GETEC!$D$7</definedName>
    <definedName name="origen" hidden="1">{#N/A,#N/A,TRUE,"TOC";#N/A,#N/A,TRUE,"Inputs";#N/A,#N/A,TRUE,"Debt";#N/A,#N/A,TRUE,"CashFlo";#N/A,#N/A,TRUE,"Prices";#N/A,#N/A,TRUE,"Operations";#N/A,#N/A,TRUE,"GAAP Income";#N/A,#N/A,TRUE,"GAAP Balance";#N/A,#N/A,TRUE,"D&amp;A";#N/A,#N/A,TRUE,"Revolving Working Capital";#N/A,#N/A,TRUE,"Work.Cap.";#N/A,#N/A,TRUE,"Tax Inputs";#N/A,#N/A,TRUE,"Ven Cash Flow";#N/A,#N/A,TRUE,"Ven Income Tax";#N/A,#N/A,TRUE,"Ven Vat";#N/A,#N/A,TRUE,"Ven Balance"}</definedName>
    <definedName name="Other">#REF!</definedName>
    <definedName name="OtherRank">#REF!</definedName>
    <definedName name="OuiNon">'[3]Tables COFACE'!$D$69:$E$70</definedName>
    <definedName name="P_ON_STAFF">#REF!</definedName>
    <definedName name="PAGE01">#REF!</definedName>
    <definedName name="PAGE02">#REF!</definedName>
    <definedName name="PAGE03">#REF!</definedName>
    <definedName name="PAGE04">#REF!</definedName>
    <definedName name="PAGE05">#REF!</definedName>
    <definedName name="PAGE06">#REF!</definedName>
    <definedName name="PAGE07">#REF!</definedName>
    <definedName name="PAGE08">#REF!</definedName>
    <definedName name="PAGE09">#REF!</definedName>
    <definedName name="PAGE10">#REF!</definedName>
    <definedName name="PAGE11">#REF!</definedName>
    <definedName name="PAGE12">#REF!</definedName>
    <definedName name="PAGE13">#REF!</definedName>
    <definedName name="PAGE14">#REF!</definedName>
    <definedName name="PAGE15">#REF!</definedName>
    <definedName name="PAGE16">#REF!</definedName>
    <definedName name="PAGE17">#REF!</definedName>
    <definedName name="PAGE18">#REF!</definedName>
    <definedName name="PAGE19">#REF!</definedName>
    <definedName name="PAGE20">#REF!</definedName>
    <definedName name="PAGE21">#REF!</definedName>
    <definedName name="PAGE22">#REF!</definedName>
    <definedName name="Partenaires">[16]LOC!$CF$487:$CK$494</definedName>
    <definedName name="Passageiros_por_Trecho">#REF!</definedName>
    <definedName name="passeio">#REF!</definedName>
    <definedName name="pato">[19]Capa!$A$1:$D$137</definedName>
    <definedName name="pav" localSheetId="16">#REF!</definedName>
    <definedName name="pav" localSheetId="17">#REF!</definedName>
    <definedName name="pav" localSheetId="18">#REF!</definedName>
    <definedName name="pav" localSheetId="7">#REF!</definedName>
    <definedName name="pav" localSheetId="8">#REF!</definedName>
    <definedName name="pav" localSheetId="9">#REF!</definedName>
    <definedName name="pav" localSheetId="10">#REF!</definedName>
    <definedName name="pav" localSheetId="14">#REF!</definedName>
    <definedName name="pav" localSheetId="15">#REF!</definedName>
    <definedName name="pav">#REF!</definedName>
    <definedName name="Pays" localSheetId="16">'[3]Synthèse I Crédit-Fab'!#REF!</definedName>
    <definedName name="Pays" localSheetId="17">'[3]Synthèse I Crédit-Fab'!#REF!</definedName>
    <definedName name="Pays" localSheetId="18">'[3]Synthèse I Crédit-Fab'!#REF!</definedName>
    <definedName name="Pays" localSheetId="7">'[3]Synthèse I Crédit-Fab'!#REF!</definedName>
    <definedName name="Pays" localSheetId="8">'[3]Synthèse I Crédit-Fab'!#REF!</definedName>
    <definedName name="Pays" localSheetId="9">'[3]Synthèse I Crédit-Fab'!#REF!</definedName>
    <definedName name="Pays" localSheetId="10">'[3]Synthèse I Crédit-Fab'!#REF!</definedName>
    <definedName name="Pays" localSheetId="14">'[3]Synthèse I Crédit-Fab'!#REF!</definedName>
    <definedName name="Pays" localSheetId="15">'[3]Synthèse I Crédit-Fab'!#REF!</definedName>
    <definedName name="Pays">'[3]Synthèse I Crédit-Fab'!#REF!</definedName>
    <definedName name="Perc_est_consorcio">#REF!</definedName>
    <definedName name="PLACE" localSheetId="16">#REF!</definedName>
    <definedName name="PLACE" localSheetId="17">#REF!</definedName>
    <definedName name="PLACE" localSheetId="18">#REF!</definedName>
    <definedName name="PLACE" localSheetId="7">#REF!</definedName>
    <definedName name="PLACE" localSheetId="8">#REF!</definedName>
    <definedName name="PLACE" localSheetId="9">#REF!</definedName>
    <definedName name="PLACE" localSheetId="10">#REF!</definedName>
    <definedName name="PLACE" localSheetId="14">#REF!</definedName>
    <definedName name="PLACE" localSheetId="15">#REF!</definedName>
    <definedName name="PLACE">#REF!</definedName>
    <definedName name="plassarelas">[19]Capa!$A$1:$D$137</definedName>
    <definedName name="porte_sis">#REF!</definedName>
    <definedName name="Portugal_100_PTE">#REF!</definedName>
    <definedName name="PPDR" localSheetId="16">[4]NTB!#REF!</definedName>
    <definedName name="PPDR" localSheetId="17">[4]NTB!#REF!</definedName>
    <definedName name="PPDR" localSheetId="18">[4]NTB!#REF!</definedName>
    <definedName name="PPDR" localSheetId="7">[4]NTB!#REF!</definedName>
    <definedName name="PPDR" localSheetId="8">[4]NTB!#REF!</definedName>
    <definedName name="PPDR" localSheetId="9">[4]NTB!#REF!</definedName>
    <definedName name="PPDR" localSheetId="10">[4]NTB!#REF!</definedName>
    <definedName name="PPDR" localSheetId="14">[4]NTB!#REF!</definedName>
    <definedName name="PPDR" localSheetId="15">[4]NTB!#REF!</definedName>
    <definedName name="PPDR">[4]NTB!#REF!</definedName>
    <definedName name="PRESCLE">#N/A</definedName>
    <definedName name="PRESTP">#N/A</definedName>
    <definedName name="Prix">'[3]Synthèse I Crédit-Fab'!$C$11</definedName>
    <definedName name="PTE">#REF!</definedName>
    <definedName name="PU">[20]Results!$G$19</definedName>
    <definedName name="q" hidden="1">{"'Índice'!$A$1:$K$49"}</definedName>
    <definedName name="qq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q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qq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qqq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qqqq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qqqqqqq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qqqqqqqq" hidden="1">{TRUE,TRUE,-1.25,-15.5,484.5,276.75,FALSE,TRUE,TRUE,TRUE,0,1,1,300,1,1.96296296296296,1.15384615384615,4,TRUE,TRUE,3,TRUE,1,FALSE,75,"Swvu.Print_Todo.","ACwvu.Print_Todo.",#N/A,FALSE,FALSE,0,0,0,0,2,"","",FALSE,FALSE,TRUE,FALSE,1,#N/A,2,10,"=R1C1:R636C40",FALSE,#N/A,#N/A,FALSE,FALSE,FALSE,9,300,300,FALSE,TRUE,TRUE,TRUE,TRUE}</definedName>
    <definedName name="qqqqqqqqq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R_LOOP1" localSheetId="16">#REF!</definedName>
    <definedName name="R_LOOP1" localSheetId="17">#REF!</definedName>
    <definedName name="R_LOOP1" localSheetId="18">#REF!</definedName>
    <definedName name="R_LOOP1" localSheetId="7">#REF!</definedName>
    <definedName name="R_LOOP1" localSheetId="8">#REF!</definedName>
    <definedName name="R_LOOP1" localSheetId="9">#REF!</definedName>
    <definedName name="R_LOOP1" localSheetId="10">#REF!</definedName>
    <definedName name="R_LOOP1" localSheetId="14">#REF!</definedName>
    <definedName name="R_LOOP1" localSheetId="15">#REF!</definedName>
    <definedName name="R_LOOP1">#REF!</definedName>
    <definedName name="R_LOOP2" localSheetId="16">#REF!</definedName>
    <definedName name="R_LOOP2" localSheetId="17">#REF!</definedName>
    <definedName name="R_LOOP2" localSheetId="18">#REF!</definedName>
    <definedName name="R_LOOP2" localSheetId="7">#REF!</definedName>
    <definedName name="R_LOOP2" localSheetId="8">#REF!</definedName>
    <definedName name="R_LOOP2" localSheetId="9">#REF!</definedName>
    <definedName name="R_LOOP2" localSheetId="10">#REF!</definedName>
    <definedName name="R_LOOP2" localSheetId="14">#REF!</definedName>
    <definedName name="R_LOOP2" localSheetId="15">#REF!</definedName>
    <definedName name="R_LOOP2">#REF!</definedName>
    <definedName name="RainDay">#REF!</definedName>
    <definedName name="RANGE01">#N/A</definedName>
    <definedName name="RDAY">#REF!</definedName>
    <definedName name="Reais__US">'[17]Dados de entrada'!$D$34</definedName>
    <definedName name="real" localSheetId="16">[10]Hypothèses!#REF!</definedName>
    <definedName name="real" localSheetId="17">[10]Hypothèses!#REF!</definedName>
    <definedName name="real" localSheetId="18">[10]Hypothèses!#REF!</definedName>
    <definedName name="real" localSheetId="7">[10]Hypothèses!#REF!</definedName>
    <definedName name="real" localSheetId="8">[10]Hypothèses!#REF!</definedName>
    <definedName name="real" localSheetId="9">[10]Hypothèses!#REF!</definedName>
    <definedName name="real" localSheetId="10">[10]Hypothèses!#REF!</definedName>
    <definedName name="real" localSheetId="14">[10]Hypothèses!#REF!</definedName>
    <definedName name="real" localSheetId="15">[10]Hypothèses!#REF!</definedName>
    <definedName name="real">[10]Hypothèses!#REF!</definedName>
    <definedName name="Red" localSheetId="16">[5]Receita!#REF!</definedName>
    <definedName name="Red" localSheetId="17">[5]Receita!#REF!</definedName>
    <definedName name="Red" localSheetId="18">[5]Receita!#REF!</definedName>
    <definedName name="Red" localSheetId="7">[5]Receita!#REF!</definedName>
    <definedName name="Red" localSheetId="8">[5]Receita!#REF!</definedName>
    <definedName name="Red" localSheetId="9">[5]Receita!#REF!</definedName>
    <definedName name="Red" localSheetId="10">[5]Receita!#REF!</definedName>
    <definedName name="Red" localSheetId="14">[5]Receita!#REF!</definedName>
    <definedName name="Red" localSheetId="15">[5]Receita!#REF!</definedName>
    <definedName name="Red">[5]Receita!#REF!</definedName>
    <definedName name="Réf">[16]LOC!$J$2</definedName>
    <definedName name="Res._financeiro_líquido">#REF!</definedName>
    <definedName name="RESULT._FINANC._LÍQ._Acumul.">#REF!</definedName>
    <definedName name="RESUMEN">#REF!</definedName>
    <definedName name="Resumo">#REF!</definedName>
    <definedName name="risks" localSheetId="16">_L9C2</definedName>
    <definedName name="risks" localSheetId="17">_L9C2</definedName>
    <definedName name="risks" localSheetId="18">_L9C2</definedName>
    <definedName name="risks" localSheetId="7">_L9C2</definedName>
    <definedName name="risks" localSheetId="8">_L9C2</definedName>
    <definedName name="risks" localSheetId="9">_L9C2</definedName>
    <definedName name="risks" localSheetId="10">_L9C2</definedName>
    <definedName name="risks" localSheetId="14">_L9C2</definedName>
    <definedName name="risks" localSheetId="15">_L9C2</definedName>
    <definedName name="risks">_L9C2</definedName>
    <definedName name="Risque">'[3]Tables COFACE'!$D$9:$I$10</definedName>
    <definedName name="s">{0;0;0;0;1;#N/A;0.5;0.5;0.75;0.75;2;TRUE;TRUE;FALSE;FALSE;FALSE;#N/A;1;#N/A;1;1;"&amp;L&amp;7 RAMIBD05\GROUPS\EMG\DESOUSA\BRAZIL\MACHADIB\MODEL\MODEL_12.XLS -- &amp;D, &amp;T -- Page &amp;P of &amp;N
&amp;7";"&amp;L&amp;F&amp;A&amp;RPage&amp;P"}</definedName>
    <definedName name="SA">#REF!</definedName>
    <definedName name="SAE">#REF!</definedName>
    <definedName name="SDAY">#REF!</definedName>
    <definedName name="secao">#REF!</definedName>
    <definedName name="Sensitivity_Breakeven_DSCR">#REF!</definedName>
    <definedName name="Sensitivity_Breakeven_LLCR">#REF!</definedName>
    <definedName name="Sensitivity_Breakeven_PLCR">#REF!</definedName>
    <definedName name="Sensitivity_Default">#REF!</definedName>
    <definedName name="Sensitivity_Equity_IRR">#REF!</definedName>
    <definedName name="Sensitivity_Min_DSCR">#REF!</definedName>
    <definedName name="SERV">[18]GETEC!$D$9</definedName>
    <definedName name="sin">#REF!</definedName>
    <definedName name="solver_cvg" hidden="1">0.001</definedName>
    <definedName name="solver_drv" hidden="1">1</definedName>
    <definedName name="solver_est" hidden="1">1</definedName>
    <definedName name="solver_itr" hidden="1">100</definedName>
    <definedName name="solver_lin" hidden="1">2</definedName>
    <definedName name="solver_neg" hidden="1">2</definedName>
    <definedName name="solver_num" hidden="1">0</definedName>
    <definedName name="solver_nwt" hidden="1">1</definedName>
    <definedName name="solver_pre" hidden="1">0.000001</definedName>
    <definedName name="solver_scl" hidden="1">2</definedName>
    <definedName name="solver_sho" hidden="1">2</definedName>
    <definedName name="solver_tim" hidden="1">100</definedName>
    <definedName name="solver_tol" hidden="1">0.05</definedName>
    <definedName name="solver_typ" hidden="1">3</definedName>
    <definedName name="solver_val" hidden="1">19.66</definedName>
    <definedName name="sorb_">#REF!</definedName>
    <definedName name="Spain_____100_ESP">#REF!</definedName>
    <definedName name="STPP">#REF!</definedName>
    <definedName name="STPP1">#REF!</definedName>
    <definedName name="STPP2">#REF!</definedName>
    <definedName name="SUMMARY_PAGE1">#REF!</definedName>
    <definedName name="T_FIRMING_LIST">[21]CFG!$Q$17:$Q$20</definedName>
    <definedName name="T_NATURE_LIST">[21]CFG!$V$2:$V$35</definedName>
    <definedName name="T_QUANTITY_LIST">[21]CFG!$Q$2:$Q$6</definedName>
    <definedName name="T_RATE" localSheetId="16">[21]CFG!#REF!</definedName>
    <definedName name="T_RATE" localSheetId="17">[21]CFG!#REF!</definedName>
    <definedName name="T_RATE" localSheetId="18">[21]CFG!#REF!</definedName>
    <definedName name="T_RATE" localSheetId="7">[21]CFG!#REF!</definedName>
    <definedName name="T_RATE" localSheetId="8">[21]CFG!#REF!</definedName>
    <definedName name="T_RATE" localSheetId="9">[21]CFG!#REF!</definedName>
    <definedName name="T_RATE" localSheetId="10">[21]CFG!#REF!</definedName>
    <definedName name="T_RATE" localSheetId="14">[21]CFG!#REF!</definedName>
    <definedName name="T_RATE" localSheetId="15">[21]CFG!#REF!</definedName>
    <definedName name="T_RATE">[21]CFG!#REF!</definedName>
    <definedName name="T_RATE_QUALIF" localSheetId="16">[21]CFG!#REF!</definedName>
    <definedName name="T_RATE_QUALIF" localSheetId="17">[21]CFG!#REF!</definedName>
    <definedName name="T_RATE_QUALIF" localSheetId="18">[21]CFG!#REF!</definedName>
    <definedName name="T_RATE_QUALIF" localSheetId="7">[21]CFG!#REF!</definedName>
    <definedName name="T_RATE_QUALIF" localSheetId="8">[21]CFG!#REF!</definedName>
    <definedName name="T_RATE_QUALIF" localSheetId="9">[21]CFG!#REF!</definedName>
    <definedName name="T_RATE_QUALIF" localSheetId="10">[21]CFG!#REF!</definedName>
    <definedName name="T_RATE_QUALIF" localSheetId="14">[21]CFG!#REF!</definedName>
    <definedName name="T_RATE_QUALIF" localSheetId="15">[21]CFG!#REF!</definedName>
    <definedName name="T_RATE_QUALIF">[21]CFG!#REF!</definedName>
    <definedName name="Tab_A">'[3]Tables COFACE'!$D$14:$I$21</definedName>
    <definedName name="Tab_B">'[3]Tables COFACE'!$D$24:$I$31</definedName>
    <definedName name="TABAA">#REF!</definedName>
    <definedName name="TABAB">#REF!</definedName>
    <definedName name="TABAC">#REF!</definedName>
    <definedName name="TabelReeks">#REF!</definedName>
    <definedName name="TabFab_A">'[3]Tables COFACE'!$D$36:$I$43</definedName>
    <definedName name="TabFab_B">'[3]Tables COFACE'!$D$46:$I$53</definedName>
    <definedName name="Tarifa" localSheetId="16">[5]Dados!#REF!</definedName>
    <definedName name="Tarifa" localSheetId="17">[5]Dados!#REF!</definedName>
    <definedName name="Tarifa" localSheetId="18">[5]Dados!#REF!</definedName>
    <definedName name="Tarifa" localSheetId="7">[5]Dados!#REF!</definedName>
    <definedName name="Tarifa" localSheetId="8">[5]Dados!#REF!</definedName>
    <definedName name="Tarifa" localSheetId="9">[5]Dados!#REF!</definedName>
    <definedName name="Tarifa" localSheetId="10">[5]Dados!#REF!</definedName>
    <definedName name="Tarifa" localSheetId="14">[5]Dados!#REF!</definedName>
    <definedName name="Tarifa" localSheetId="15">[5]Dados!#REF!</definedName>
    <definedName name="Tarifa">[5]Dados!#REF!</definedName>
    <definedName name="testa">#REF!</definedName>
    <definedName name="TFF_ADD_OFF" localSheetId="16">#REF!</definedName>
    <definedName name="TFF_ADD_OFF" localSheetId="17">#REF!</definedName>
    <definedName name="TFF_ADD_OFF" localSheetId="18">#REF!</definedName>
    <definedName name="TFF_ADD_OFF" localSheetId="7">#REF!</definedName>
    <definedName name="TFF_ADD_OFF" localSheetId="8">#REF!</definedName>
    <definedName name="TFF_ADD_OFF" localSheetId="9">#REF!</definedName>
    <definedName name="TFF_ADD_OFF" localSheetId="10">#REF!</definedName>
    <definedName name="TFF_ADD_OFF" localSheetId="14">#REF!</definedName>
    <definedName name="TFF_ADD_OFF" localSheetId="15">#REF!</definedName>
    <definedName name="TFF_ADD_OFF">#REF!</definedName>
    <definedName name="TIRProj">[20]Results!$G$27</definedName>
    <definedName name="Titre1">[16]LOC!$BL$2</definedName>
    <definedName name="tjlp" localSheetId="16">#REF!</definedName>
    <definedName name="tjlp" localSheetId="17">#REF!</definedName>
    <definedName name="tjlp" localSheetId="18">#REF!</definedName>
    <definedName name="tjlp" localSheetId="7">#REF!</definedName>
    <definedName name="tjlp" localSheetId="8">#REF!</definedName>
    <definedName name="tjlp" localSheetId="9">#REF!</definedName>
    <definedName name="tjlp" localSheetId="10">#REF!</definedName>
    <definedName name="tjlp" localSheetId="14">#REF!</definedName>
    <definedName name="tjlp" localSheetId="15">#REF!</definedName>
    <definedName name="tjlp">#REF!</definedName>
    <definedName name="ton_trans">#REF!</definedName>
    <definedName name="TOT" localSheetId="16">'[22]Q 1 INICIAIS'!#REF!</definedName>
    <definedName name="TOT" localSheetId="17">'[22]Q 1 INICIAIS'!#REF!</definedName>
    <definedName name="TOT" localSheetId="18">'[22]Q 1 INICIAIS'!#REF!</definedName>
    <definedName name="TOT" localSheetId="7">'[22]Q 1 INICIAIS'!#REF!</definedName>
    <definedName name="TOT" localSheetId="8">'[22]Q 1 INICIAIS'!#REF!</definedName>
    <definedName name="TOT" localSheetId="9">'[22]Q 1 INICIAIS'!#REF!</definedName>
    <definedName name="TOT" localSheetId="10">'[22]Q 1 INICIAIS'!#REF!</definedName>
    <definedName name="TOT" localSheetId="14">'[22]Q 1 INICIAIS'!#REF!</definedName>
    <definedName name="TOT" localSheetId="15">'[22]Q 1 INICIAIS'!#REF!</definedName>
    <definedName name="TOT">'[22]Q 1 INICIAIS'!#REF!</definedName>
    <definedName name="TOT_DC">4</definedName>
    <definedName name="Total" localSheetId="16">#REF!</definedName>
    <definedName name="Total" localSheetId="17">#REF!</definedName>
    <definedName name="Total" localSheetId="18">#REF!</definedName>
    <definedName name="Total" localSheetId="7">#REF!</definedName>
    <definedName name="Total" localSheetId="8">#REF!</definedName>
    <definedName name="Total" localSheetId="9">#REF!</definedName>
    <definedName name="Total" localSheetId="10">#REF!</definedName>
    <definedName name="Total" localSheetId="14">#REF!</definedName>
    <definedName name="Total" localSheetId="15">#REF!</definedName>
    <definedName name="Total">#REF!</definedName>
    <definedName name="total01.1" localSheetId="16">'[23]01'!#REF!</definedName>
    <definedName name="total01.1" localSheetId="17">'[23]01'!#REF!</definedName>
    <definedName name="total01.1" localSheetId="18">'[23]01'!#REF!</definedName>
    <definedName name="total01.1" localSheetId="7">'[23]01'!#REF!</definedName>
    <definedName name="total01.1" localSheetId="8">'[23]01'!#REF!</definedName>
    <definedName name="total01.1" localSheetId="9">'[23]01'!#REF!</definedName>
    <definedName name="total01.1" localSheetId="10">'[23]01'!#REF!</definedName>
    <definedName name="total01.1" localSheetId="14">'[23]01'!#REF!</definedName>
    <definedName name="total01.1" localSheetId="15">'[23]01'!#REF!</definedName>
    <definedName name="total01.1">'[23]01'!#REF!</definedName>
    <definedName name="total02.1" localSheetId="16">'[23]02'!#REF!</definedName>
    <definedName name="total02.1" localSheetId="17">'[23]02'!#REF!</definedName>
    <definedName name="total02.1" localSheetId="18">'[23]02'!#REF!</definedName>
    <definedName name="total02.1" localSheetId="7">'[23]02'!#REF!</definedName>
    <definedName name="total02.1" localSheetId="8">'[23]02'!#REF!</definedName>
    <definedName name="total02.1" localSheetId="9">'[23]02'!#REF!</definedName>
    <definedName name="total02.1" localSheetId="10">'[23]02'!#REF!</definedName>
    <definedName name="total02.1" localSheetId="14">'[23]02'!#REF!</definedName>
    <definedName name="total02.1" localSheetId="15">'[23]02'!#REF!</definedName>
    <definedName name="total02.1">'[23]02'!#REF!</definedName>
    <definedName name="total02.2" localSheetId="16">'[23]02'!#REF!</definedName>
    <definedName name="total02.2" localSheetId="17">'[23]02'!#REF!</definedName>
    <definedName name="total02.2" localSheetId="18">'[23]02'!#REF!</definedName>
    <definedName name="total02.2" localSheetId="7">'[23]02'!#REF!</definedName>
    <definedName name="total02.2" localSheetId="8">'[23]02'!#REF!</definedName>
    <definedName name="total02.2" localSheetId="9">'[23]02'!#REF!</definedName>
    <definedName name="total02.2" localSheetId="10">'[23]02'!#REF!</definedName>
    <definedName name="total02.2" localSheetId="14">'[23]02'!#REF!</definedName>
    <definedName name="total02.2" localSheetId="15">'[23]02'!#REF!</definedName>
    <definedName name="total02.2">'[23]02'!#REF!</definedName>
    <definedName name="total04.1" localSheetId="16">'[23]04'!#REF!</definedName>
    <definedName name="total04.1" localSheetId="17">'[23]04'!#REF!</definedName>
    <definedName name="total04.1" localSheetId="18">'[23]04'!#REF!</definedName>
    <definedName name="total04.1" localSheetId="7">'[23]04'!#REF!</definedName>
    <definedName name="total04.1" localSheetId="8">'[23]04'!#REF!</definedName>
    <definedName name="total04.1" localSheetId="9">'[23]04'!#REF!</definedName>
    <definedName name="total04.1" localSheetId="10">'[23]04'!#REF!</definedName>
    <definedName name="total04.1" localSheetId="14">'[23]04'!#REF!</definedName>
    <definedName name="total04.1" localSheetId="15">'[23]04'!#REF!</definedName>
    <definedName name="total04.1">'[23]04'!#REF!</definedName>
    <definedName name="total05.1" localSheetId="16">'[23]05'!#REF!</definedName>
    <definedName name="total05.1" localSheetId="17">'[23]05'!#REF!</definedName>
    <definedName name="total05.1" localSheetId="18">'[23]05'!#REF!</definedName>
    <definedName name="total05.1" localSheetId="7">'[23]05'!#REF!</definedName>
    <definedName name="total05.1" localSheetId="8">'[23]05'!#REF!</definedName>
    <definedName name="total05.1" localSheetId="9">'[23]05'!#REF!</definedName>
    <definedName name="total05.1" localSheetId="10">'[23]05'!#REF!</definedName>
    <definedName name="total05.1" localSheetId="14">'[23]05'!#REF!</definedName>
    <definedName name="total05.1" localSheetId="15">'[23]05'!#REF!</definedName>
    <definedName name="total05.1">'[23]05'!#REF!</definedName>
    <definedName name="total05.2" localSheetId="16">'[23]05'!#REF!</definedName>
    <definedName name="total05.2" localSheetId="17">'[23]05'!#REF!</definedName>
    <definedName name="total05.2" localSheetId="18">'[23]05'!#REF!</definedName>
    <definedName name="total05.2" localSheetId="7">'[23]05'!#REF!</definedName>
    <definedName name="total05.2" localSheetId="8">'[23]05'!#REF!</definedName>
    <definedName name="total05.2" localSheetId="9">'[23]05'!#REF!</definedName>
    <definedName name="total05.2" localSheetId="10">'[23]05'!#REF!</definedName>
    <definedName name="total05.2" localSheetId="14">'[23]05'!#REF!</definedName>
    <definedName name="total05.2" localSheetId="15">'[23]05'!#REF!</definedName>
    <definedName name="total05.2">'[23]05'!#REF!</definedName>
    <definedName name="total05.3" localSheetId="16">'[23]05'!#REF!</definedName>
    <definedName name="total05.3" localSheetId="17">'[23]05'!#REF!</definedName>
    <definedName name="total05.3" localSheetId="18">'[23]05'!#REF!</definedName>
    <definedName name="total05.3" localSheetId="7">'[23]05'!#REF!</definedName>
    <definedName name="total05.3" localSheetId="8">'[23]05'!#REF!</definedName>
    <definedName name="total05.3" localSheetId="9">'[23]05'!#REF!</definedName>
    <definedName name="total05.3" localSheetId="10">'[23]05'!#REF!</definedName>
    <definedName name="total05.3" localSheetId="14">'[23]05'!#REF!</definedName>
    <definedName name="total05.3" localSheetId="15">'[23]05'!#REF!</definedName>
    <definedName name="total05.3">'[23]05'!#REF!</definedName>
    <definedName name="total05.4" localSheetId="16">'[23]05'!#REF!</definedName>
    <definedName name="total05.4" localSheetId="17">'[23]05'!#REF!</definedName>
    <definedName name="total05.4" localSheetId="18">'[23]05'!#REF!</definedName>
    <definedName name="total05.4" localSheetId="7">'[23]05'!#REF!</definedName>
    <definedName name="total05.4" localSheetId="8">'[23]05'!#REF!</definedName>
    <definedName name="total05.4" localSheetId="9">'[23]05'!#REF!</definedName>
    <definedName name="total05.4" localSheetId="10">'[23]05'!#REF!</definedName>
    <definedName name="total05.4" localSheetId="14">'[23]05'!#REF!</definedName>
    <definedName name="total05.4" localSheetId="15">'[23]05'!#REF!</definedName>
    <definedName name="total05.4">'[23]05'!#REF!</definedName>
    <definedName name="total05.5" localSheetId="16">'[23]05'!#REF!</definedName>
    <definedName name="total05.5" localSheetId="17">'[23]05'!#REF!</definedName>
    <definedName name="total05.5" localSheetId="18">'[23]05'!#REF!</definedName>
    <definedName name="total05.5" localSheetId="7">'[23]05'!#REF!</definedName>
    <definedName name="total05.5" localSheetId="8">'[23]05'!#REF!</definedName>
    <definedName name="total05.5" localSheetId="9">'[23]05'!#REF!</definedName>
    <definedName name="total05.5" localSheetId="10">'[23]05'!#REF!</definedName>
    <definedName name="total05.5" localSheetId="14">'[23]05'!#REF!</definedName>
    <definedName name="total05.5" localSheetId="15">'[23]05'!#REF!</definedName>
    <definedName name="total05.5">'[23]05'!#REF!</definedName>
    <definedName name="total06.1" localSheetId="16">'[24]01'!#REF!</definedName>
    <definedName name="total06.1" localSheetId="17">'[24]01'!#REF!</definedName>
    <definedName name="total06.1" localSheetId="18">'[24]01'!#REF!</definedName>
    <definedName name="total06.1" localSheetId="7">'[24]01'!#REF!</definedName>
    <definedName name="total06.1" localSheetId="8">'[24]01'!#REF!</definedName>
    <definedName name="total06.1" localSheetId="9">'[24]01'!#REF!</definedName>
    <definedName name="total06.1" localSheetId="10">'[24]01'!#REF!</definedName>
    <definedName name="total06.1" localSheetId="14">'[24]01'!#REF!</definedName>
    <definedName name="total06.1" localSheetId="15">'[24]01'!#REF!</definedName>
    <definedName name="total06.1">'[24]01'!#REF!</definedName>
    <definedName name="total08.1" localSheetId="16">'[25]01'!#REF!</definedName>
    <definedName name="total08.1" localSheetId="17">'[25]01'!#REF!</definedName>
    <definedName name="total08.1" localSheetId="18">'[25]01'!#REF!</definedName>
    <definedName name="total08.1" localSheetId="7">'[25]01'!#REF!</definedName>
    <definedName name="total08.1" localSheetId="8">'[25]01'!#REF!</definedName>
    <definedName name="total08.1" localSheetId="9">'[25]01'!#REF!</definedName>
    <definedName name="total08.1" localSheetId="10">'[25]01'!#REF!</definedName>
    <definedName name="total08.1" localSheetId="14">'[25]01'!#REF!</definedName>
    <definedName name="total08.1" localSheetId="15">'[25]01'!#REF!</definedName>
    <definedName name="total08.1">'[25]01'!#REF!</definedName>
    <definedName name="total09.1" localSheetId="16">'[23]06'!#REF!</definedName>
    <definedName name="total09.1" localSheetId="17">'[23]06'!#REF!</definedName>
    <definedName name="total09.1" localSheetId="18">'[23]06'!#REF!</definedName>
    <definedName name="total09.1" localSheetId="7">'[23]06'!#REF!</definedName>
    <definedName name="total09.1" localSheetId="8">'[23]06'!#REF!</definedName>
    <definedName name="total09.1" localSheetId="9">'[23]06'!#REF!</definedName>
    <definedName name="total09.1" localSheetId="10">'[23]06'!#REF!</definedName>
    <definedName name="total09.1" localSheetId="14">'[23]06'!#REF!</definedName>
    <definedName name="total09.1" localSheetId="15">'[23]06'!#REF!</definedName>
    <definedName name="total09.1">'[23]06'!#REF!</definedName>
    <definedName name="total09.2" localSheetId="16">'[23]06'!#REF!</definedName>
    <definedName name="total09.2" localSheetId="17">'[23]06'!#REF!</definedName>
    <definedName name="total09.2" localSheetId="18">'[23]06'!#REF!</definedName>
    <definedName name="total09.2" localSheetId="7">'[23]06'!#REF!</definedName>
    <definedName name="total09.2" localSheetId="8">'[23]06'!#REF!</definedName>
    <definedName name="total09.2" localSheetId="9">'[23]06'!#REF!</definedName>
    <definedName name="total09.2" localSheetId="10">'[23]06'!#REF!</definedName>
    <definedName name="total09.2" localSheetId="14">'[23]06'!#REF!</definedName>
    <definedName name="total09.2" localSheetId="15">'[23]06'!#REF!</definedName>
    <definedName name="total09.2">'[23]06'!#REF!</definedName>
    <definedName name="total09.3" localSheetId="16">'[23]06'!#REF!</definedName>
    <definedName name="total09.3" localSheetId="17">'[23]06'!#REF!</definedName>
    <definedName name="total09.3" localSheetId="18">'[23]06'!#REF!</definedName>
    <definedName name="total09.3" localSheetId="7">'[23]06'!#REF!</definedName>
    <definedName name="total09.3" localSheetId="8">'[23]06'!#REF!</definedName>
    <definedName name="total09.3" localSheetId="9">'[23]06'!#REF!</definedName>
    <definedName name="total09.3" localSheetId="10">'[23]06'!#REF!</definedName>
    <definedName name="total09.3" localSheetId="14">'[23]06'!#REF!</definedName>
    <definedName name="total09.3" localSheetId="15">'[23]06'!#REF!</definedName>
    <definedName name="total09.3">'[23]06'!#REF!</definedName>
    <definedName name="total10.1" localSheetId="16">'[23]07'!#REF!</definedName>
    <definedName name="total10.1" localSheetId="17">'[23]07'!#REF!</definedName>
    <definedName name="total10.1" localSheetId="18">'[23]07'!#REF!</definedName>
    <definedName name="total10.1" localSheetId="7">'[23]07'!#REF!</definedName>
    <definedName name="total10.1" localSheetId="8">'[23]07'!#REF!</definedName>
    <definedName name="total10.1" localSheetId="9">'[23]07'!#REF!</definedName>
    <definedName name="total10.1" localSheetId="10">'[23]07'!#REF!</definedName>
    <definedName name="total10.1" localSheetId="14">'[23]07'!#REF!</definedName>
    <definedName name="total10.1" localSheetId="15">'[23]07'!#REF!</definedName>
    <definedName name="total10.1">'[23]07'!#REF!</definedName>
    <definedName name="total11.1" localSheetId="16">'[23]08'!#REF!</definedName>
    <definedName name="total11.1" localSheetId="17">'[23]08'!#REF!</definedName>
    <definedName name="total11.1" localSheetId="18">'[23]08'!#REF!</definedName>
    <definedName name="total11.1" localSheetId="7">'[23]08'!#REF!</definedName>
    <definedName name="total11.1" localSheetId="8">'[23]08'!#REF!</definedName>
    <definedName name="total11.1" localSheetId="9">'[23]08'!#REF!</definedName>
    <definedName name="total11.1" localSheetId="10">'[23]08'!#REF!</definedName>
    <definedName name="total11.1" localSheetId="14">'[23]08'!#REF!</definedName>
    <definedName name="total11.1" localSheetId="15">'[23]08'!#REF!</definedName>
    <definedName name="total11.1">'[23]08'!#REF!</definedName>
    <definedName name="total11.2" localSheetId="16">'[23]08'!#REF!</definedName>
    <definedName name="total11.2" localSheetId="17">'[23]08'!#REF!</definedName>
    <definedName name="total11.2" localSheetId="18">'[23]08'!#REF!</definedName>
    <definedName name="total11.2" localSheetId="7">'[23]08'!#REF!</definedName>
    <definedName name="total11.2" localSheetId="8">'[23]08'!#REF!</definedName>
    <definedName name="total11.2" localSheetId="9">'[23]08'!#REF!</definedName>
    <definedName name="total11.2" localSheetId="10">'[23]08'!#REF!</definedName>
    <definedName name="total11.2" localSheetId="14">'[23]08'!#REF!</definedName>
    <definedName name="total11.2" localSheetId="15">'[23]08'!#REF!</definedName>
    <definedName name="total11.2">'[23]08'!#REF!</definedName>
    <definedName name="total12.1" localSheetId="16">'[23]09'!#REF!</definedName>
    <definedName name="total12.1" localSheetId="17">'[23]09'!#REF!</definedName>
    <definedName name="total12.1" localSheetId="18">'[23]09'!#REF!</definedName>
    <definedName name="total12.1" localSheetId="7">'[23]09'!#REF!</definedName>
    <definedName name="total12.1" localSheetId="8">'[23]09'!#REF!</definedName>
    <definedName name="total12.1" localSheetId="9">'[23]09'!#REF!</definedName>
    <definedName name="total12.1" localSheetId="10">'[23]09'!#REF!</definedName>
    <definedName name="total12.1" localSheetId="14">'[23]09'!#REF!</definedName>
    <definedName name="total12.1" localSheetId="15">'[23]09'!#REF!</definedName>
    <definedName name="total12.1">'[23]09'!#REF!</definedName>
    <definedName name="total12.10" localSheetId="16">'[23]09'!#REF!</definedName>
    <definedName name="total12.10" localSheetId="17">'[23]09'!#REF!</definedName>
    <definedName name="total12.10" localSheetId="18">'[23]09'!#REF!</definedName>
    <definedName name="total12.10" localSheetId="7">'[23]09'!#REF!</definedName>
    <definedName name="total12.10" localSheetId="8">'[23]09'!#REF!</definedName>
    <definedName name="total12.10" localSheetId="9">'[23]09'!#REF!</definedName>
    <definedName name="total12.10" localSheetId="10">'[23]09'!#REF!</definedName>
    <definedName name="total12.10" localSheetId="14">'[23]09'!#REF!</definedName>
    <definedName name="total12.10" localSheetId="15">'[23]09'!#REF!</definedName>
    <definedName name="total12.10">'[23]09'!#REF!</definedName>
    <definedName name="total12.11" localSheetId="16">'[23]09'!#REF!</definedName>
    <definedName name="total12.11" localSheetId="17">'[23]09'!#REF!</definedName>
    <definedName name="total12.11" localSheetId="18">'[23]09'!#REF!</definedName>
    <definedName name="total12.11" localSheetId="7">'[23]09'!#REF!</definedName>
    <definedName name="total12.11" localSheetId="8">'[23]09'!#REF!</definedName>
    <definedName name="total12.11" localSheetId="9">'[23]09'!#REF!</definedName>
    <definedName name="total12.11" localSheetId="10">'[23]09'!#REF!</definedName>
    <definedName name="total12.11" localSheetId="14">'[23]09'!#REF!</definedName>
    <definedName name="total12.11" localSheetId="15">'[23]09'!#REF!</definedName>
    <definedName name="total12.11">'[23]09'!#REF!</definedName>
    <definedName name="total12.12" localSheetId="16">'[23]09'!#REF!</definedName>
    <definedName name="total12.12" localSheetId="17">'[23]09'!#REF!</definedName>
    <definedName name="total12.12" localSheetId="18">'[23]09'!#REF!</definedName>
    <definedName name="total12.12" localSheetId="7">'[23]09'!#REF!</definedName>
    <definedName name="total12.12" localSheetId="8">'[23]09'!#REF!</definedName>
    <definedName name="total12.12" localSheetId="9">'[23]09'!#REF!</definedName>
    <definedName name="total12.12" localSheetId="10">'[23]09'!#REF!</definedName>
    <definedName name="total12.12" localSheetId="14">'[23]09'!#REF!</definedName>
    <definedName name="total12.12" localSheetId="15">'[23]09'!#REF!</definedName>
    <definedName name="total12.12">'[23]09'!#REF!</definedName>
    <definedName name="total12.13" localSheetId="16">'[23]09'!#REF!</definedName>
    <definedName name="total12.13" localSheetId="17">'[23]09'!#REF!</definedName>
    <definedName name="total12.13" localSheetId="18">'[23]09'!#REF!</definedName>
    <definedName name="total12.13" localSheetId="7">'[23]09'!#REF!</definedName>
    <definedName name="total12.13" localSheetId="8">'[23]09'!#REF!</definedName>
    <definedName name="total12.13" localSheetId="9">'[23]09'!#REF!</definedName>
    <definedName name="total12.13" localSheetId="10">'[23]09'!#REF!</definedName>
    <definedName name="total12.13" localSheetId="14">'[23]09'!#REF!</definedName>
    <definedName name="total12.13" localSheetId="15">'[23]09'!#REF!</definedName>
    <definedName name="total12.13">'[23]09'!#REF!</definedName>
    <definedName name="total12.14" localSheetId="16">'[23]09'!#REF!</definedName>
    <definedName name="total12.14" localSheetId="17">'[23]09'!#REF!</definedName>
    <definedName name="total12.14" localSheetId="18">'[23]09'!#REF!</definedName>
    <definedName name="total12.14" localSheetId="7">'[23]09'!#REF!</definedName>
    <definedName name="total12.14" localSheetId="8">'[23]09'!#REF!</definedName>
    <definedName name="total12.14" localSheetId="9">'[23]09'!#REF!</definedName>
    <definedName name="total12.14" localSheetId="10">'[23]09'!#REF!</definedName>
    <definedName name="total12.14" localSheetId="14">'[23]09'!#REF!</definedName>
    <definedName name="total12.14" localSheetId="15">'[23]09'!#REF!</definedName>
    <definedName name="total12.14">'[23]09'!#REF!</definedName>
    <definedName name="total12.2" localSheetId="16">'[23]09'!#REF!</definedName>
    <definedName name="total12.2" localSheetId="17">'[23]09'!#REF!</definedName>
    <definedName name="total12.2" localSheetId="18">'[23]09'!#REF!</definedName>
    <definedName name="total12.2" localSheetId="7">'[23]09'!#REF!</definedName>
    <definedName name="total12.2" localSheetId="8">'[23]09'!#REF!</definedName>
    <definedName name="total12.2" localSheetId="9">'[23]09'!#REF!</definedName>
    <definedName name="total12.2" localSheetId="10">'[23]09'!#REF!</definedName>
    <definedName name="total12.2" localSheetId="14">'[23]09'!#REF!</definedName>
    <definedName name="total12.2" localSheetId="15">'[23]09'!#REF!</definedName>
    <definedName name="total12.2">'[23]09'!#REF!</definedName>
    <definedName name="total12.3" localSheetId="16">'[23]09'!#REF!</definedName>
    <definedName name="total12.3" localSheetId="17">'[23]09'!#REF!</definedName>
    <definedName name="total12.3" localSheetId="18">'[23]09'!#REF!</definedName>
    <definedName name="total12.3" localSheetId="7">'[23]09'!#REF!</definedName>
    <definedName name="total12.3" localSheetId="8">'[23]09'!#REF!</definedName>
    <definedName name="total12.3" localSheetId="9">'[23]09'!#REF!</definedName>
    <definedName name="total12.3" localSheetId="10">'[23]09'!#REF!</definedName>
    <definedName name="total12.3" localSheetId="14">'[23]09'!#REF!</definedName>
    <definedName name="total12.3" localSheetId="15">'[23]09'!#REF!</definedName>
    <definedName name="total12.3">'[23]09'!#REF!</definedName>
    <definedName name="total12.4" localSheetId="16">'[23]09'!#REF!</definedName>
    <definedName name="total12.4" localSheetId="17">'[23]09'!#REF!</definedName>
    <definedName name="total12.4" localSheetId="18">'[23]09'!#REF!</definedName>
    <definedName name="total12.4" localSheetId="7">'[23]09'!#REF!</definedName>
    <definedName name="total12.4" localSheetId="8">'[23]09'!#REF!</definedName>
    <definedName name="total12.4" localSheetId="9">'[23]09'!#REF!</definedName>
    <definedName name="total12.4" localSheetId="10">'[23]09'!#REF!</definedName>
    <definedName name="total12.4" localSheetId="14">'[23]09'!#REF!</definedName>
    <definedName name="total12.4" localSheetId="15">'[23]09'!#REF!</definedName>
    <definedName name="total12.4">'[23]09'!#REF!</definedName>
    <definedName name="total12.5" localSheetId="16">'[23]09'!#REF!</definedName>
    <definedName name="total12.5" localSheetId="17">'[23]09'!#REF!</definedName>
    <definedName name="total12.5" localSheetId="18">'[23]09'!#REF!</definedName>
    <definedName name="total12.5" localSheetId="7">'[23]09'!#REF!</definedName>
    <definedName name="total12.5" localSheetId="8">'[23]09'!#REF!</definedName>
    <definedName name="total12.5" localSheetId="9">'[23]09'!#REF!</definedName>
    <definedName name="total12.5" localSheetId="10">'[23]09'!#REF!</definedName>
    <definedName name="total12.5" localSheetId="14">'[23]09'!#REF!</definedName>
    <definedName name="total12.5" localSheetId="15">'[23]09'!#REF!</definedName>
    <definedName name="total12.5">'[23]09'!#REF!</definedName>
    <definedName name="total12.6" localSheetId="16">'[23]09'!#REF!</definedName>
    <definedName name="total12.6" localSheetId="17">'[23]09'!#REF!</definedName>
    <definedName name="total12.6" localSheetId="18">'[23]09'!#REF!</definedName>
    <definedName name="total12.6" localSheetId="7">'[23]09'!#REF!</definedName>
    <definedName name="total12.6" localSheetId="8">'[23]09'!#REF!</definedName>
    <definedName name="total12.6" localSheetId="9">'[23]09'!#REF!</definedName>
    <definedName name="total12.6" localSheetId="10">'[23]09'!#REF!</definedName>
    <definedName name="total12.6" localSheetId="14">'[23]09'!#REF!</definedName>
    <definedName name="total12.6" localSheetId="15">'[23]09'!#REF!</definedName>
    <definedName name="total12.6">'[23]09'!#REF!</definedName>
    <definedName name="total12.7" localSheetId="16">'[23]09'!#REF!</definedName>
    <definedName name="total12.7" localSheetId="17">'[23]09'!#REF!</definedName>
    <definedName name="total12.7" localSheetId="18">'[23]09'!#REF!</definedName>
    <definedName name="total12.7" localSheetId="7">'[23]09'!#REF!</definedName>
    <definedName name="total12.7" localSheetId="8">'[23]09'!#REF!</definedName>
    <definedName name="total12.7" localSheetId="9">'[23]09'!#REF!</definedName>
    <definedName name="total12.7" localSheetId="10">'[23]09'!#REF!</definedName>
    <definedName name="total12.7" localSheetId="14">'[23]09'!#REF!</definedName>
    <definedName name="total12.7" localSheetId="15">'[23]09'!#REF!</definedName>
    <definedName name="total12.7">'[23]09'!#REF!</definedName>
    <definedName name="total12.8" localSheetId="16">'[23]09'!#REF!</definedName>
    <definedName name="total12.8" localSheetId="17">'[23]09'!#REF!</definedName>
    <definedName name="total12.8" localSheetId="18">'[23]09'!#REF!</definedName>
    <definedName name="total12.8" localSheetId="7">'[23]09'!#REF!</definedName>
    <definedName name="total12.8" localSheetId="8">'[23]09'!#REF!</definedName>
    <definedName name="total12.8" localSheetId="9">'[23]09'!#REF!</definedName>
    <definedName name="total12.8" localSheetId="10">'[23]09'!#REF!</definedName>
    <definedName name="total12.8" localSheetId="14">'[23]09'!#REF!</definedName>
    <definedName name="total12.8" localSheetId="15">'[23]09'!#REF!</definedName>
    <definedName name="total12.8">'[23]09'!#REF!</definedName>
    <definedName name="total12.9" localSheetId="16">'[23]09'!#REF!</definedName>
    <definedName name="total12.9" localSheetId="17">'[23]09'!#REF!</definedName>
    <definedName name="total12.9" localSheetId="18">'[23]09'!#REF!</definedName>
    <definedName name="total12.9" localSheetId="7">'[23]09'!#REF!</definedName>
    <definedName name="total12.9" localSheetId="8">'[23]09'!#REF!</definedName>
    <definedName name="total12.9" localSheetId="9">'[23]09'!#REF!</definedName>
    <definedName name="total12.9" localSheetId="10">'[23]09'!#REF!</definedName>
    <definedName name="total12.9" localSheetId="14">'[23]09'!#REF!</definedName>
    <definedName name="total12.9" localSheetId="15">'[23]09'!#REF!</definedName>
    <definedName name="total12.9">'[23]09'!#REF!</definedName>
    <definedName name="total13.1" localSheetId="16">'[23]10'!#REF!</definedName>
    <definedName name="total13.1" localSheetId="17">'[23]10'!#REF!</definedName>
    <definedName name="total13.1" localSheetId="18">'[23]10'!#REF!</definedName>
    <definedName name="total13.1" localSheetId="7">'[23]10'!#REF!</definedName>
    <definedName name="total13.1" localSheetId="8">'[23]10'!#REF!</definedName>
    <definedName name="total13.1" localSheetId="9">'[23]10'!#REF!</definedName>
    <definedName name="total13.1" localSheetId="10">'[23]10'!#REF!</definedName>
    <definedName name="total13.1" localSheetId="14">'[23]10'!#REF!</definedName>
    <definedName name="total13.1" localSheetId="15">'[23]10'!#REF!</definedName>
    <definedName name="total13.1">'[23]10'!#REF!</definedName>
    <definedName name="total14.1" localSheetId="16">'[23]11'!#REF!</definedName>
    <definedName name="total14.1" localSheetId="17">'[23]11'!#REF!</definedName>
    <definedName name="total14.1" localSheetId="18">'[23]11'!#REF!</definedName>
    <definedName name="total14.1" localSheetId="7">'[23]11'!#REF!</definedName>
    <definedName name="total14.1" localSheetId="8">'[23]11'!#REF!</definedName>
    <definedName name="total14.1" localSheetId="9">'[23]11'!#REF!</definedName>
    <definedName name="total14.1" localSheetId="10">'[23]11'!#REF!</definedName>
    <definedName name="total14.1" localSheetId="14">'[23]11'!#REF!</definedName>
    <definedName name="total14.1" localSheetId="15">'[23]11'!#REF!</definedName>
    <definedName name="total14.1">'[23]11'!#REF!</definedName>
    <definedName name="total14.2" localSheetId="16">'[23]11'!#REF!</definedName>
    <definedName name="total14.2" localSheetId="17">'[23]11'!#REF!</definedName>
    <definedName name="total14.2" localSheetId="18">'[23]11'!#REF!</definedName>
    <definedName name="total14.2" localSheetId="7">'[23]11'!#REF!</definedName>
    <definedName name="total14.2" localSheetId="8">'[23]11'!#REF!</definedName>
    <definedName name="total14.2" localSheetId="9">'[23]11'!#REF!</definedName>
    <definedName name="total14.2" localSheetId="10">'[23]11'!#REF!</definedName>
    <definedName name="total14.2" localSheetId="14">'[23]11'!#REF!</definedName>
    <definedName name="total14.2" localSheetId="15">'[23]11'!#REF!</definedName>
    <definedName name="total14.2">'[23]11'!#REF!</definedName>
    <definedName name="total14.3" localSheetId="16">'[23]11'!#REF!</definedName>
    <definedName name="total14.3" localSheetId="17">'[23]11'!#REF!</definedName>
    <definedName name="total14.3" localSheetId="18">'[23]11'!#REF!</definedName>
    <definedName name="total14.3" localSheetId="7">'[23]11'!#REF!</definedName>
    <definedName name="total14.3" localSheetId="8">'[23]11'!#REF!</definedName>
    <definedName name="total14.3" localSheetId="9">'[23]11'!#REF!</definedName>
    <definedName name="total14.3" localSheetId="10">'[23]11'!#REF!</definedName>
    <definedName name="total14.3" localSheetId="14">'[23]11'!#REF!</definedName>
    <definedName name="total14.3" localSheetId="15">'[23]11'!#REF!</definedName>
    <definedName name="total14.3">'[23]11'!#REF!</definedName>
    <definedName name="total14.4" localSheetId="16">'[23]11'!#REF!</definedName>
    <definedName name="total14.4" localSheetId="17">'[23]11'!#REF!</definedName>
    <definedName name="total14.4" localSheetId="18">'[23]11'!#REF!</definedName>
    <definedName name="total14.4" localSheetId="7">'[23]11'!#REF!</definedName>
    <definedName name="total14.4" localSheetId="8">'[23]11'!#REF!</definedName>
    <definedName name="total14.4" localSheetId="9">'[23]11'!#REF!</definedName>
    <definedName name="total14.4" localSheetId="10">'[23]11'!#REF!</definedName>
    <definedName name="total14.4" localSheetId="14">'[23]11'!#REF!</definedName>
    <definedName name="total14.4" localSheetId="15">'[23]11'!#REF!</definedName>
    <definedName name="total14.4">'[23]11'!#REF!</definedName>
    <definedName name="total14.5" localSheetId="16">'[23]11'!#REF!</definedName>
    <definedName name="total14.5" localSheetId="17">'[23]11'!#REF!</definedName>
    <definedName name="total14.5" localSheetId="18">'[23]11'!#REF!</definedName>
    <definedName name="total14.5" localSheetId="7">'[23]11'!#REF!</definedName>
    <definedName name="total14.5" localSheetId="8">'[23]11'!#REF!</definedName>
    <definedName name="total14.5" localSheetId="9">'[23]11'!#REF!</definedName>
    <definedName name="total14.5" localSheetId="10">'[23]11'!#REF!</definedName>
    <definedName name="total14.5" localSheetId="14">'[23]11'!#REF!</definedName>
    <definedName name="total14.5" localSheetId="15">'[23]11'!#REF!</definedName>
    <definedName name="total14.5">'[23]11'!#REF!</definedName>
    <definedName name="total14.6" localSheetId="16">'[23]11'!#REF!</definedName>
    <definedName name="total14.6" localSheetId="17">'[23]11'!#REF!</definedName>
    <definedName name="total14.6" localSheetId="18">'[23]11'!#REF!</definedName>
    <definedName name="total14.6" localSheetId="7">'[23]11'!#REF!</definedName>
    <definedName name="total14.6" localSheetId="8">'[23]11'!#REF!</definedName>
    <definedName name="total14.6" localSheetId="9">'[23]11'!#REF!</definedName>
    <definedName name="total14.6" localSheetId="10">'[23]11'!#REF!</definedName>
    <definedName name="total14.6" localSheetId="14">'[23]11'!#REF!</definedName>
    <definedName name="total14.6" localSheetId="15">'[23]11'!#REF!</definedName>
    <definedName name="total14.6">'[23]11'!#REF!</definedName>
    <definedName name="total14.7" localSheetId="16">'[23]11'!#REF!</definedName>
    <definedName name="total14.7" localSheetId="17">'[23]11'!#REF!</definedName>
    <definedName name="total14.7" localSheetId="18">'[23]11'!#REF!</definedName>
    <definedName name="total14.7" localSheetId="7">'[23]11'!#REF!</definedName>
    <definedName name="total14.7" localSheetId="8">'[23]11'!#REF!</definedName>
    <definedName name="total14.7" localSheetId="9">'[23]11'!#REF!</definedName>
    <definedName name="total14.7" localSheetId="10">'[23]11'!#REF!</definedName>
    <definedName name="total14.7" localSheetId="14">'[23]11'!#REF!</definedName>
    <definedName name="total14.7" localSheetId="15">'[23]11'!#REF!</definedName>
    <definedName name="total14.7">'[23]11'!#REF!</definedName>
    <definedName name="total14.8" localSheetId="16">'[23]11'!#REF!</definedName>
    <definedName name="total14.8" localSheetId="17">'[23]11'!#REF!</definedName>
    <definedName name="total14.8" localSheetId="18">'[23]11'!#REF!</definedName>
    <definedName name="total14.8" localSheetId="7">'[23]11'!#REF!</definedName>
    <definedName name="total14.8" localSheetId="8">'[23]11'!#REF!</definedName>
    <definedName name="total14.8" localSheetId="9">'[23]11'!#REF!</definedName>
    <definedName name="total14.8" localSheetId="10">'[23]11'!#REF!</definedName>
    <definedName name="total14.8" localSheetId="14">'[23]11'!#REF!</definedName>
    <definedName name="total14.8" localSheetId="15">'[23]11'!#REF!</definedName>
    <definedName name="total14.8">'[23]11'!#REF!</definedName>
    <definedName name="total19.1" localSheetId="16">'[23]12'!#REF!</definedName>
    <definedName name="total19.1" localSheetId="17">'[23]12'!#REF!</definedName>
    <definedName name="total19.1" localSheetId="18">'[23]12'!#REF!</definedName>
    <definedName name="total19.1" localSheetId="7">'[23]12'!#REF!</definedName>
    <definedName name="total19.1" localSheetId="8">'[23]12'!#REF!</definedName>
    <definedName name="total19.1" localSheetId="9">'[23]12'!#REF!</definedName>
    <definedName name="total19.1" localSheetId="10">'[23]12'!#REF!</definedName>
    <definedName name="total19.1" localSheetId="14">'[23]12'!#REF!</definedName>
    <definedName name="total19.1" localSheetId="15">'[23]12'!#REF!</definedName>
    <definedName name="total19.1">'[23]12'!#REF!</definedName>
    <definedName name="total20.1" localSheetId="16">'[23]13'!#REF!</definedName>
    <definedName name="total20.1" localSheetId="17">'[23]13'!#REF!</definedName>
    <definedName name="total20.1" localSheetId="18">'[23]13'!#REF!</definedName>
    <definedName name="total20.1" localSheetId="7">'[23]13'!#REF!</definedName>
    <definedName name="total20.1" localSheetId="8">'[23]13'!#REF!</definedName>
    <definedName name="total20.1" localSheetId="9">'[23]13'!#REF!</definedName>
    <definedName name="total20.1" localSheetId="10">'[23]13'!#REF!</definedName>
    <definedName name="total20.1" localSheetId="14">'[23]13'!#REF!</definedName>
    <definedName name="total20.1" localSheetId="15">'[23]13'!#REF!</definedName>
    <definedName name="total20.1">'[23]13'!#REF!</definedName>
    <definedName name="total20.2" localSheetId="16">'[23]13'!#REF!</definedName>
    <definedName name="total20.2" localSheetId="17">'[23]13'!#REF!</definedName>
    <definedName name="total20.2" localSheetId="18">'[23]13'!#REF!</definedName>
    <definedName name="total20.2" localSheetId="7">'[23]13'!#REF!</definedName>
    <definedName name="total20.2" localSheetId="8">'[23]13'!#REF!</definedName>
    <definedName name="total20.2" localSheetId="9">'[23]13'!#REF!</definedName>
    <definedName name="total20.2" localSheetId="10">'[23]13'!#REF!</definedName>
    <definedName name="total20.2" localSheetId="14">'[23]13'!#REF!</definedName>
    <definedName name="total20.2" localSheetId="15">'[23]13'!#REF!</definedName>
    <definedName name="total20.2">'[23]13'!#REF!</definedName>
    <definedName name="total20.3" localSheetId="16">'[23]13'!#REF!</definedName>
    <definedName name="total20.3" localSheetId="17">'[23]13'!#REF!</definedName>
    <definedName name="total20.3" localSheetId="18">'[23]13'!#REF!</definedName>
    <definedName name="total20.3" localSheetId="7">'[23]13'!#REF!</definedName>
    <definedName name="total20.3" localSheetId="8">'[23]13'!#REF!</definedName>
    <definedName name="total20.3" localSheetId="9">'[23]13'!#REF!</definedName>
    <definedName name="total20.3" localSheetId="10">'[23]13'!#REF!</definedName>
    <definedName name="total20.3" localSheetId="14">'[23]13'!#REF!</definedName>
    <definedName name="total20.3" localSheetId="15">'[23]13'!#REF!</definedName>
    <definedName name="total20.3">'[23]13'!#REF!</definedName>
    <definedName name="total21.1" localSheetId="16">'[24]03'!#REF!</definedName>
    <definedName name="total21.1" localSheetId="17">'[24]03'!#REF!</definedName>
    <definedName name="total21.1" localSheetId="18">'[24]03'!#REF!</definedName>
    <definedName name="total21.1" localSheetId="7">'[24]03'!#REF!</definedName>
    <definedName name="total21.1" localSheetId="8">'[24]03'!#REF!</definedName>
    <definedName name="total21.1" localSheetId="9">'[24]03'!#REF!</definedName>
    <definedName name="total21.1" localSheetId="10">'[24]03'!#REF!</definedName>
    <definedName name="total21.1" localSheetId="14">'[24]03'!#REF!</definedName>
    <definedName name="total21.1" localSheetId="15">'[24]03'!#REF!</definedName>
    <definedName name="total21.1">'[24]03'!#REF!</definedName>
    <definedName name="total21.2" localSheetId="16">'[24]03'!#REF!</definedName>
    <definedName name="total21.2" localSheetId="17">'[24]03'!#REF!</definedName>
    <definedName name="total21.2" localSheetId="18">'[24]03'!#REF!</definedName>
    <definedName name="total21.2" localSheetId="7">'[24]03'!#REF!</definedName>
    <definedName name="total21.2" localSheetId="8">'[24]03'!#REF!</definedName>
    <definedName name="total21.2" localSheetId="9">'[24]03'!#REF!</definedName>
    <definedName name="total21.2" localSheetId="10">'[24]03'!#REF!</definedName>
    <definedName name="total21.2" localSheetId="14">'[24]03'!#REF!</definedName>
    <definedName name="total21.2" localSheetId="15">'[24]03'!#REF!</definedName>
    <definedName name="total21.2">'[24]03'!#REF!</definedName>
    <definedName name="total21.3" localSheetId="16">'[24]03'!#REF!</definedName>
    <definedName name="total21.3" localSheetId="17">'[24]03'!#REF!</definedName>
    <definedName name="total21.3" localSheetId="18">'[24]03'!#REF!</definedName>
    <definedName name="total21.3" localSheetId="7">'[24]03'!#REF!</definedName>
    <definedName name="total21.3" localSheetId="8">'[24]03'!#REF!</definedName>
    <definedName name="total21.3" localSheetId="9">'[24]03'!#REF!</definedName>
    <definedName name="total21.3" localSheetId="10">'[24]03'!#REF!</definedName>
    <definedName name="total21.3" localSheetId="14">'[24]03'!#REF!</definedName>
    <definedName name="total21.3" localSheetId="15">'[24]03'!#REF!</definedName>
    <definedName name="total21.3">'[24]03'!#REF!</definedName>
    <definedName name="total23.1" localSheetId="16">'[25]02'!#REF!</definedName>
    <definedName name="total23.1" localSheetId="17">'[25]02'!#REF!</definedName>
    <definedName name="total23.1" localSheetId="18">'[25]02'!#REF!</definedName>
    <definedName name="total23.1" localSheetId="7">'[25]02'!#REF!</definedName>
    <definedName name="total23.1" localSheetId="8">'[25]02'!#REF!</definedName>
    <definedName name="total23.1" localSheetId="9">'[25]02'!#REF!</definedName>
    <definedName name="total23.1" localSheetId="10">'[25]02'!#REF!</definedName>
    <definedName name="total23.1" localSheetId="14">'[25]02'!#REF!</definedName>
    <definedName name="total23.1" localSheetId="15">'[25]02'!#REF!</definedName>
    <definedName name="total23.1">'[25]02'!#REF!</definedName>
    <definedName name="total23.2" localSheetId="16">'[25]02'!#REF!</definedName>
    <definedName name="total23.2" localSheetId="17">'[25]02'!#REF!</definedName>
    <definedName name="total23.2" localSheetId="18">'[25]02'!#REF!</definedName>
    <definedName name="total23.2" localSheetId="7">'[25]02'!#REF!</definedName>
    <definedName name="total23.2" localSheetId="8">'[25]02'!#REF!</definedName>
    <definedName name="total23.2" localSheetId="9">'[25]02'!#REF!</definedName>
    <definedName name="total23.2" localSheetId="10">'[25]02'!#REF!</definedName>
    <definedName name="total23.2" localSheetId="14">'[25]02'!#REF!</definedName>
    <definedName name="total23.2" localSheetId="15">'[25]02'!#REF!</definedName>
    <definedName name="total23.2">'[25]02'!#REF!</definedName>
    <definedName name="total23.3" localSheetId="16">'[25]02'!#REF!</definedName>
    <definedName name="total23.3" localSheetId="17">'[25]02'!#REF!</definedName>
    <definedName name="total23.3" localSheetId="18">'[25]02'!#REF!</definedName>
    <definedName name="total23.3" localSheetId="7">'[25]02'!#REF!</definedName>
    <definedName name="total23.3" localSheetId="8">'[25]02'!#REF!</definedName>
    <definedName name="total23.3" localSheetId="9">'[25]02'!#REF!</definedName>
    <definedName name="total23.3" localSheetId="10">'[25]02'!#REF!</definedName>
    <definedName name="total23.3" localSheetId="14">'[25]02'!#REF!</definedName>
    <definedName name="total23.3" localSheetId="15">'[25]02'!#REF!</definedName>
    <definedName name="total23.3">'[25]02'!#REF!</definedName>
    <definedName name="total24.1" localSheetId="16">'[23]14'!#REF!</definedName>
    <definedName name="total24.1" localSheetId="17">'[23]14'!#REF!</definedName>
    <definedName name="total24.1" localSheetId="18">'[23]14'!#REF!</definedName>
    <definedName name="total24.1" localSheetId="7">'[23]14'!#REF!</definedName>
    <definedName name="total24.1" localSheetId="8">'[23]14'!#REF!</definedName>
    <definedName name="total24.1" localSheetId="9">'[23]14'!#REF!</definedName>
    <definedName name="total24.1" localSheetId="10">'[23]14'!#REF!</definedName>
    <definedName name="total24.1" localSheetId="14">'[23]14'!#REF!</definedName>
    <definedName name="total24.1" localSheetId="15">'[23]14'!#REF!</definedName>
    <definedName name="total24.1">'[23]14'!#REF!</definedName>
    <definedName name="total24.2" localSheetId="16">'[23]14'!#REF!</definedName>
    <definedName name="total24.2" localSheetId="17">'[23]14'!#REF!</definedName>
    <definedName name="total24.2" localSheetId="18">'[23]14'!#REF!</definedName>
    <definedName name="total24.2" localSheetId="7">'[23]14'!#REF!</definedName>
    <definedName name="total24.2" localSheetId="8">'[23]14'!#REF!</definedName>
    <definedName name="total24.2" localSheetId="9">'[23]14'!#REF!</definedName>
    <definedName name="total24.2" localSheetId="10">'[23]14'!#REF!</definedName>
    <definedName name="total24.2" localSheetId="14">'[23]14'!#REF!</definedName>
    <definedName name="total24.2" localSheetId="15">'[23]14'!#REF!</definedName>
    <definedName name="total24.2">'[23]14'!#REF!</definedName>
    <definedName name="total24.3" localSheetId="16">'[23]14'!#REF!</definedName>
    <definedName name="total24.3" localSheetId="17">'[23]14'!#REF!</definedName>
    <definedName name="total24.3" localSheetId="18">'[23]14'!#REF!</definedName>
    <definedName name="total24.3" localSheetId="7">'[23]14'!#REF!</definedName>
    <definedName name="total24.3" localSheetId="8">'[23]14'!#REF!</definedName>
    <definedName name="total24.3" localSheetId="9">'[23]14'!#REF!</definedName>
    <definedName name="total24.3" localSheetId="10">'[23]14'!#REF!</definedName>
    <definedName name="total24.3" localSheetId="14">'[23]14'!#REF!</definedName>
    <definedName name="total24.3" localSheetId="15">'[23]14'!#REF!</definedName>
    <definedName name="total24.3">'[23]14'!#REF!</definedName>
    <definedName name="total24.4" localSheetId="16">'[23]14'!#REF!</definedName>
    <definedName name="total24.4" localSheetId="17">'[23]14'!#REF!</definedName>
    <definedName name="total24.4" localSheetId="18">'[23]14'!#REF!</definedName>
    <definedName name="total24.4" localSheetId="7">'[23]14'!#REF!</definedName>
    <definedName name="total24.4" localSheetId="8">'[23]14'!#REF!</definedName>
    <definedName name="total24.4" localSheetId="9">'[23]14'!#REF!</definedName>
    <definedName name="total24.4" localSheetId="10">'[23]14'!#REF!</definedName>
    <definedName name="total24.4" localSheetId="14">'[23]14'!#REF!</definedName>
    <definedName name="total24.4" localSheetId="15">'[23]14'!#REF!</definedName>
    <definedName name="total24.4">'[23]14'!#REF!</definedName>
    <definedName name="total24.5" localSheetId="16">'[23]14'!#REF!</definedName>
    <definedName name="total24.5" localSheetId="17">'[23]14'!#REF!</definedName>
    <definedName name="total24.5" localSheetId="18">'[23]14'!#REF!</definedName>
    <definedName name="total24.5" localSheetId="7">'[23]14'!#REF!</definedName>
    <definedName name="total24.5" localSheetId="8">'[23]14'!#REF!</definedName>
    <definedName name="total24.5" localSheetId="9">'[23]14'!#REF!</definedName>
    <definedName name="total24.5" localSheetId="10">'[23]14'!#REF!</definedName>
    <definedName name="total24.5" localSheetId="14">'[23]14'!#REF!</definedName>
    <definedName name="total24.5" localSheetId="15">'[23]14'!#REF!</definedName>
    <definedName name="total24.5">'[23]14'!#REF!</definedName>
    <definedName name="total25.1" localSheetId="16">'[23]15'!#REF!</definedName>
    <definedName name="total25.1" localSheetId="17">'[23]15'!#REF!</definedName>
    <definedName name="total25.1" localSheetId="18">'[23]15'!#REF!</definedName>
    <definedName name="total25.1" localSheetId="7">'[23]15'!#REF!</definedName>
    <definedName name="total25.1" localSheetId="8">'[23]15'!#REF!</definedName>
    <definedName name="total25.1" localSheetId="9">'[23]15'!#REF!</definedName>
    <definedName name="total25.1" localSheetId="10">'[23]15'!#REF!</definedName>
    <definedName name="total25.1" localSheetId="14">'[23]15'!#REF!</definedName>
    <definedName name="total25.1" localSheetId="15">'[23]15'!#REF!</definedName>
    <definedName name="total25.1">'[23]15'!#REF!</definedName>
    <definedName name="total25.2" localSheetId="16">'[23]15'!#REF!</definedName>
    <definedName name="total25.2" localSheetId="17">'[23]15'!#REF!</definedName>
    <definedName name="total25.2" localSheetId="18">'[23]15'!#REF!</definedName>
    <definedName name="total25.2" localSheetId="7">'[23]15'!#REF!</definedName>
    <definedName name="total25.2" localSheetId="8">'[23]15'!#REF!</definedName>
    <definedName name="total25.2" localSheetId="9">'[23]15'!#REF!</definedName>
    <definedName name="total25.2" localSheetId="10">'[23]15'!#REF!</definedName>
    <definedName name="total25.2" localSheetId="14">'[23]15'!#REF!</definedName>
    <definedName name="total25.2" localSheetId="15">'[23]15'!#REF!</definedName>
    <definedName name="total25.2">'[23]15'!#REF!</definedName>
    <definedName name="total25.3" localSheetId="16">'[23]15'!#REF!</definedName>
    <definedName name="total25.3" localSheetId="17">'[23]15'!#REF!</definedName>
    <definedName name="total25.3" localSheetId="18">'[23]15'!#REF!</definedName>
    <definedName name="total25.3" localSheetId="7">'[23]15'!#REF!</definedName>
    <definedName name="total25.3" localSheetId="8">'[23]15'!#REF!</definedName>
    <definedName name="total25.3" localSheetId="9">'[23]15'!#REF!</definedName>
    <definedName name="total25.3" localSheetId="10">'[23]15'!#REF!</definedName>
    <definedName name="total25.3" localSheetId="14">'[23]15'!#REF!</definedName>
    <definedName name="total25.3" localSheetId="15">'[23]15'!#REF!</definedName>
    <definedName name="total25.3">'[23]15'!#REF!</definedName>
    <definedName name="total25.4" localSheetId="16">'[23]15'!#REF!</definedName>
    <definedName name="total25.4" localSheetId="17">'[23]15'!#REF!</definedName>
    <definedName name="total25.4" localSheetId="18">'[23]15'!#REF!</definedName>
    <definedName name="total25.4" localSheetId="7">'[23]15'!#REF!</definedName>
    <definedName name="total25.4" localSheetId="8">'[23]15'!#REF!</definedName>
    <definedName name="total25.4" localSheetId="9">'[23]15'!#REF!</definedName>
    <definedName name="total25.4" localSheetId="10">'[23]15'!#REF!</definedName>
    <definedName name="total25.4" localSheetId="14">'[23]15'!#REF!</definedName>
    <definedName name="total25.4" localSheetId="15">'[23]15'!#REF!</definedName>
    <definedName name="total25.4">'[23]15'!#REF!</definedName>
    <definedName name="total25.5" localSheetId="16">'[23]15'!#REF!</definedName>
    <definedName name="total25.5" localSheetId="17">'[23]15'!#REF!</definedName>
    <definedName name="total25.5" localSheetId="18">'[23]15'!#REF!</definedName>
    <definedName name="total25.5" localSheetId="7">'[23]15'!#REF!</definedName>
    <definedName name="total25.5" localSheetId="8">'[23]15'!#REF!</definedName>
    <definedName name="total25.5" localSheetId="9">'[23]15'!#REF!</definedName>
    <definedName name="total25.5" localSheetId="10">'[23]15'!#REF!</definedName>
    <definedName name="total25.5" localSheetId="14">'[23]15'!#REF!</definedName>
    <definedName name="total25.5" localSheetId="15">'[23]15'!#REF!</definedName>
    <definedName name="total25.5">'[23]15'!#REF!</definedName>
    <definedName name="total25.6" localSheetId="16">'[23]15'!#REF!</definedName>
    <definedName name="total25.6" localSheetId="17">'[23]15'!#REF!</definedName>
    <definedName name="total25.6" localSheetId="18">'[23]15'!#REF!</definedName>
    <definedName name="total25.6" localSheetId="7">'[23]15'!#REF!</definedName>
    <definedName name="total25.6" localSheetId="8">'[23]15'!#REF!</definedName>
    <definedName name="total25.6" localSheetId="9">'[23]15'!#REF!</definedName>
    <definedName name="total25.6" localSheetId="10">'[23]15'!#REF!</definedName>
    <definedName name="total25.6" localSheetId="14">'[23]15'!#REF!</definedName>
    <definedName name="total25.6" localSheetId="15">'[23]15'!#REF!</definedName>
    <definedName name="total25.6">'[23]15'!#REF!</definedName>
    <definedName name="total25.7" localSheetId="16">'[23]15'!#REF!</definedName>
    <definedName name="total25.7" localSheetId="17">'[23]15'!#REF!</definedName>
    <definedName name="total25.7" localSheetId="18">'[23]15'!#REF!</definedName>
    <definedName name="total25.7" localSheetId="7">'[23]15'!#REF!</definedName>
    <definedName name="total25.7" localSheetId="8">'[23]15'!#REF!</definedName>
    <definedName name="total25.7" localSheetId="9">'[23]15'!#REF!</definedName>
    <definedName name="total25.7" localSheetId="10">'[23]15'!#REF!</definedName>
    <definedName name="total25.7" localSheetId="14">'[23]15'!#REF!</definedName>
    <definedName name="total25.7" localSheetId="15">'[23]15'!#REF!</definedName>
    <definedName name="total25.7">'[23]15'!#REF!</definedName>
    <definedName name="total27.1" localSheetId="16">'[24]05'!#REF!</definedName>
    <definedName name="total27.1" localSheetId="17">'[24]05'!#REF!</definedName>
    <definedName name="total27.1" localSheetId="18">'[24]05'!#REF!</definedName>
    <definedName name="total27.1" localSheetId="7">'[24]05'!#REF!</definedName>
    <definedName name="total27.1" localSheetId="8">'[24]05'!#REF!</definedName>
    <definedName name="total27.1" localSheetId="9">'[24]05'!#REF!</definedName>
    <definedName name="total27.1" localSheetId="10">'[24]05'!#REF!</definedName>
    <definedName name="total27.1" localSheetId="14">'[24]05'!#REF!</definedName>
    <definedName name="total27.1" localSheetId="15">'[24]05'!#REF!</definedName>
    <definedName name="total27.1">'[24]05'!#REF!</definedName>
    <definedName name="total27.2" localSheetId="16">'[24]05'!#REF!</definedName>
    <definedName name="total27.2" localSheetId="17">'[24]05'!#REF!</definedName>
    <definedName name="total27.2" localSheetId="18">'[24]05'!#REF!</definedName>
    <definedName name="total27.2" localSheetId="7">'[24]05'!#REF!</definedName>
    <definedName name="total27.2" localSheetId="8">'[24]05'!#REF!</definedName>
    <definedName name="total27.2" localSheetId="9">'[24]05'!#REF!</definedName>
    <definedName name="total27.2" localSheetId="10">'[24]05'!#REF!</definedName>
    <definedName name="total27.2" localSheetId="14">'[24]05'!#REF!</definedName>
    <definedName name="total27.2" localSheetId="15">'[24]05'!#REF!</definedName>
    <definedName name="total27.2">'[24]05'!#REF!</definedName>
    <definedName name="total27.3" localSheetId="16">'[24]05'!#REF!</definedName>
    <definedName name="total27.3" localSheetId="17">'[24]05'!#REF!</definedName>
    <definedName name="total27.3" localSheetId="18">'[24]05'!#REF!</definedName>
    <definedName name="total27.3" localSheetId="7">'[24]05'!#REF!</definedName>
    <definedName name="total27.3" localSheetId="8">'[24]05'!#REF!</definedName>
    <definedName name="total27.3" localSheetId="9">'[24]05'!#REF!</definedName>
    <definedName name="total27.3" localSheetId="10">'[24]05'!#REF!</definedName>
    <definedName name="total27.3" localSheetId="14">'[24]05'!#REF!</definedName>
    <definedName name="total27.3" localSheetId="15">'[24]05'!#REF!</definedName>
    <definedName name="total27.3">'[24]05'!#REF!</definedName>
    <definedName name="total27.4" localSheetId="16">'[24]05'!#REF!</definedName>
    <definedName name="total27.4" localSheetId="17">'[24]05'!#REF!</definedName>
    <definedName name="total27.4" localSheetId="18">'[24]05'!#REF!</definedName>
    <definedName name="total27.4" localSheetId="7">'[24]05'!#REF!</definedName>
    <definedName name="total27.4" localSheetId="8">'[24]05'!#REF!</definedName>
    <definedName name="total27.4" localSheetId="9">'[24]05'!#REF!</definedName>
    <definedName name="total27.4" localSheetId="10">'[24]05'!#REF!</definedName>
    <definedName name="total27.4" localSheetId="14">'[24]05'!#REF!</definedName>
    <definedName name="total27.4" localSheetId="15">'[24]05'!#REF!</definedName>
    <definedName name="total27.4">'[24]05'!#REF!</definedName>
    <definedName name="total27.5" localSheetId="16">'[24]05'!#REF!</definedName>
    <definedName name="total27.5" localSheetId="17">'[24]05'!#REF!</definedName>
    <definedName name="total27.5" localSheetId="18">'[24]05'!#REF!</definedName>
    <definedName name="total27.5" localSheetId="7">'[24]05'!#REF!</definedName>
    <definedName name="total27.5" localSheetId="8">'[24]05'!#REF!</definedName>
    <definedName name="total27.5" localSheetId="9">'[24]05'!#REF!</definedName>
    <definedName name="total27.5" localSheetId="10">'[24]05'!#REF!</definedName>
    <definedName name="total27.5" localSheetId="14">'[24]05'!#REF!</definedName>
    <definedName name="total27.5" localSheetId="15">'[24]05'!#REF!</definedName>
    <definedName name="total27.5">'[24]05'!#REF!</definedName>
    <definedName name="total29.1" localSheetId="16">'[25]03'!#REF!</definedName>
    <definedName name="total29.1" localSheetId="17">'[25]03'!#REF!</definedName>
    <definedName name="total29.1" localSheetId="18">'[25]03'!#REF!</definedName>
    <definedName name="total29.1" localSheetId="7">'[25]03'!#REF!</definedName>
    <definedName name="total29.1" localSheetId="8">'[25]03'!#REF!</definedName>
    <definedName name="total29.1" localSheetId="9">'[25]03'!#REF!</definedName>
    <definedName name="total29.1" localSheetId="10">'[25]03'!#REF!</definedName>
    <definedName name="total29.1" localSheetId="14">'[25]03'!#REF!</definedName>
    <definedName name="total29.1" localSheetId="15">'[25]03'!#REF!</definedName>
    <definedName name="total29.1">'[25]03'!#REF!</definedName>
    <definedName name="total30.1" localSheetId="16">'[23]17'!#REF!</definedName>
    <definedName name="total30.1" localSheetId="17">'[23]17'!#REF!</definedName>
    <definedName name="total30.1" localSheetId="18">'[23]17'!#REF!</definedName>
    <definedName name="total30.1" localSheetId="7">'[23]17'!#REF!</definedName>
    <definedName name="total30.1" localSheetId="8">'[23]17'!#REF!</definedName>
    <definedName name="total30.1" localSheetId="9">'[23]17'!#REF!</definedName>
    <definedName name="total30.1" localSheetId="10">'[23]17'!#REF!</definedName>
    <definedName name="total30.1" localSheetId="14">'[23]17'!#REF!</definedName>
    <definedName name="total30.1" localSheetId="15">'[23]17'!#REF!</definedName>
    <definedName name="total30.1">'[23]17'!#REF!</definedName>
    <definedName name="total31.1" localSheetId="16">'[23]18'!#REF!</definedName>
    <definedName name="total31.1" localSheetId="17">'[23]18'!#REF!</definedName>
    <definedName name="total31.1" localSheetId="18">'[23]18'!#REF!</definedName>
    <definedName name="total31.1" localSheetId="7">'[23]18'!#REF!</definedName>
    <definedName name="total31.1" localSheetId="8">'[23]18'!#REF!</definedName>
    <definedName name="total31.1" localSheetId="9">'[23]18'!#REF!</definedName>
    <definedName name="total31.1" localSheetId="10">'[23]18'!#REF!</definedName>
    <definedName name="total31.1" localSheetId="14">'[23]18'!#REF!</definedName>
    <definedName name="total31.1" localSheetId="15">'[23]18'!#REF!</definedName>
    <definedName name="total31.1">'[23]18'!#REF!</definedName>
    <definedName name="total31.2" localSheetId="16">'[23]18'!#REF!</definedName>
    <definedName name="total31.2" localSheetId="17">'[23]18'!#REF!</definedName>
    <definedName name="total31.2" localSheetId="18">'[23]18'!#REF!</definedName>
    <definedName name="total31.2" localSheetId="7">'[23]18'!#REF!</definedName>
    <definedName name="total31.2" localSheetId="8">'[23]18'!#REF!</definedName>
    <definedName name="total31.2" localSheetId="9">'[23]18'!#REF!</definedName>
    <definedName name="total31.2" localSheetId="10">'[23]18'!#REF!</definedName>
    <definedName name="total31.2" localSheetId="14">'[23]18'!#REF!</definedName>
    <definedName name="total31.2" localSheetId="15">'[23]18'!#REF!</definedName>
    <definedName name="total31.2">'[23]18'!#REF!</definedName>
    <definedName name="total31.3" localSheetId="16">'[23]18'!#REF!</definedName>
    <definedName name="total31.3" localSheetId="17">'[23]18'!#REF!</definedName>
    <definedName name="total31.3" localSheetId="18">'[23]18'!#REF!</definedName>
    <definedName name="total31.3" localSheetId="7">'[23]18'!#REF!</definedName>
    <definedName name="total31.3" localSheetId="8">'[23]18'!#REF!</definedName>
    <definedName name="total31.3" localSheetId="9">'[23]18'!#REF!</definedName>
    <definedName name="total31.3" localSheetId="10">'[23]18'!#REF!</definedName>
    <definedName name="total31.3" localSheetId="14">'[23]18'!#REF!</definedName>
    <definedName name="total31.3" localSheetId="15">'[23]18'!#REF!</definedName>
    <definedName name="total31.3">'[23]18'!#REF!</definedName>
    <definedName name="total38.1" localSheetId="16">'[25]04'!#REF!</definedName>
    <definedName name="total38.1" localSheetId="17">'[25]04'!#REF!</definedName>
    <definedName name="total38.1" localSheetId="18">'[25]04'!#REF!</definedName>
    <definedName name="total38.1" localSheetId="7">'[25]04'!#REF!</definedName>
    <definedName name="total38.1" localSheetId="8">'[25]04'!#REF!</definedName>
    <definedName name="total38.1" localSheetId="9">'[25]04'!#REF!</definedName>
    <definedName name="total38.1" localSheetId="10">'[25]04'!#REF!</definedName>
    <definedName name="total38.1" localSheetId="14">'[25]04'!#REF!</definedName>
    <definedName name="total38.1" localSheetId="15">'[25]04'!#REF!</definedName>
    <definedName name="total38.1">'[25]04'!#REF!</definedName>
    <definedName name="totalplanilha01" localSheetId="16">'[23]01'!#REF!</definedName>
    <definedName name="totalplanilha01" localSheetId="17">'[23]01'!#REF!</definedName>
    <definedName name="totalplanilha01" localSheetId="18">'[23]01'!#REF!</definedName>
    <definedName name="totalplanilha01" localSheetId="7">'[23]01'!#REF!</definedName>
    <definedName name="totalplanilha01" localSheetId="8">'[23]01'!#REF!</definedName>
    <definedName name="totalplanilha01" localSheetId="9">'[23]01'!#REF!</definedName>
    <definedName name="totalplanilha01" localSheetId="10">'[23]01'!#REF!</definedName>
    <definedName name="totalplanilha01" localSheetId="14">'[23]01'!#REF!</definedName>
    <definedName name="totalplanilha01" localSheetId="15">'[23]01'!#REF!</definedName>
    <definedName name="totalplanilha01">'[23]01'!#REF!</definedName>
    <definedName name="toto" hidden="1">{"'Database'!$A$1:$F$130"}</definedName>
    <definedName name="tps_transf">#REF!</definedName>
    <definedName name="TRANS">[19]Capa!$A$1:$D$137</definedName>
    <definedName name="transferencia">[19]Capa!$A$1:$D$137</definedName>
    <definedName name="TS_E_EN_OFF">#REF!</definedName>
    <definedName name="TS_E_EN_ON">#REF!</definedName>
    <definedName name="TS_E_MN_OFF">#REF!</definedName>
    <definedName name="TS_E_MN_ON">#REF!</definedName>
    <definedName name="TS_E_SE_OFF">#REF!</definedName>
    <definedName name="TS_E_SE_ON">#REF!</definedName>
    <definedName name="TS_L_AS">#REF!</definedName>
    <definedName name="TS_L_JE">#REF!</definedName>
    <definedName name="TS_L_MN">#REF!</definedName>
    <definedName name="TS_L_PM">#REF!</definedName>
    <definedName name="TS_L_SE">#REF!</definedName>
    <definedName name="TS_L_SP">#REF!</definedName>
    <definedName name="TTV_FF">#REF!</definedName>
    <definedName name="TTV_FL">#REF!</definedName>
    <definedName name="TTV_LF">#REF!</definedName>
    <definedName name="TTV_LL">#REF!</definedName>
    <definedName name="tx">[26]Rec_!$I$9</definedName>
    <definedName name="TX_AS_FT">#REF!</definedName>
    <definedName name="TX_AS_PT">#REF!</definedName>
    <definedName name="TX_BE_FT">#REF!</definedName>
    <definedName name="TX_BE_PT">#REF!</definedName>
    <definedName name="TX_EN_FT">#REF!</definedName>
    <definedName name="TX_EN_PT">#REF!</definedName>
    <definedName name="TX_MN_FT">#REF!</definedName>
    <definedName name="TX_MN_PT">#REF!</definedName>
    <definedName name="TX_PC_FT">#REF!</definedName>
    <definedName name="TX_PC_PT">#REF!</definedName>
    <definedName name="TX_QA_FT">#REF!</definedName>
    <definedName name="TX_QA_PT">#REF!</definedName>
    <definedName name="TX_SF_FT">#REF!</definedName>
    <definedName name="TX_SF_PT">#REF!</definedName>
    <definedName name="TX_SU_FT">#REF!</definedName>
    <definedName name="TX_SU_PT">#REF!</definedName>
    <definedName name="TxCaution">'[3]Tables COFACE'!$D$59:$E$65</definedName>
    <definedName name="Type_credit">'[3]Tables COFACE'!$G$69:$G$70</definedName>
    <definedName name="Type_garantiefab">'[3]Tables COFACE'!$G$73:$G$76</definedName>
    <definedName name="unit">[19]Capa!$A$1:$D$137</definedName>
    <definedName name="US__TEU">'[17]Dados de entrada'!$D$32</definedName>
    <definedName name="vczefzfe">#REF!</definedName>
    <definedName name="vn" localSheetId="16">[5]Dados!#REF!</definedName>
    <definedName name="vn" localSheetId="17">[5]Dados!#REF!</definedName>
    <definedName name="vn" localSheetId="18">[5]Dados!#REF!</definedName>
    <definedName name="vn" localSheetId="7">[5]Dados!#REF!</definedName>
    <definedName name="vn" localSheetId="8">[5]Dados!#REF!</definedName>
    <definedName name="vn" localSheetId="9">[5]Dados!#REF!</definedName>
    <definedName name="vn" localSheetId="10">[5]Dados!#REF!</definedName>
    <definedName name="vn" localSheetId="14">[5]Dados!#REF!</definedName>
    <definedName name="vn" localSheetId="15">[5]Dados!#REF!</definedName>
    <definedName name="vn">[5]Dados!#REF!</definedName>
    <definedName name="WDAY">#REF!</definedName>
    <definedName name="wq">{0;0;0;0;1;#N/A;0.5;0.5;0.75;0.75;2;TRUE;TRUE;FALSE;FALSE;FALSE;#N/A;1;#N/A;1;1;"&amp;L&amp;7 RAMIBD05\GROUPS\EMG\DESOUSA\BRAZIL\MACHADIB\MODEL\MODEL_12.XLS -- &amp;D, &amp;T -- Page &amp;P of &amp;N
&amp;7";"&amp;L&amp;F&amp;A&amp;RPage&amp;P"}</definedName>
    <definedName name="wrn.Comparaison._.DMU." hidden="1">{#N/A,#N/A,FALSE,"General";#N/A,#N/A,FALSE,"DMU";#N/A,#N/A,FALSE,"Breakdown";#N/A,#N/A,FALSE,"Traction";#N/A,#N/A,FALSE,"Bogie &amp; Carbody";#N/A,#N/A,FALSE,"Auxiliaries";#N/A,#N/A,FALSE,"Braking";#N/A,#N/A,FALSE,"Electric";#N/A,#N/A,FALSE,"Comfort";#N/A,#N/A,FALSE,"Interiors";#N/A,#N/A,FALSE,"Exterior"}</definedName>
    <definedName name="wrn.impresión.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rn.impresión.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rn.Model." hidden="1">{#N/A,#N/A,TRUE,"TOC";#N/A,#N/A,TRUE,"Inputs";#N/A,#N/A,TRUE,"Debt";#N/A,#N/A,TRUE,"CashFlo";#N/A,#N/A,TRUE,"Prices";#N/A,#N/A,TRUE,"Operations";#N/A,#N/A,TRUE,"GAAP Income";#N/A,#N/A,TRUE,"GAAP Balance";#N/A,#N/A,TRUE,"D&amp;A";#N/A,#N/A,TRUE,"Revolving Working Capital";#N/A,#N/A,TRUE,"Work.Cap.";#N/A,#N/A,TRUE,"Tax Inputs";#N/A,#N/A,TRUE,"Ven Cash Flow";#N/A,#N/A,TRUE,"Ven Income Tax";#N/A,#N/A,TRUE,"Ven Vat";#N/A,#N/A,TRUE,"Ven Balance"}</definedName>
    <definedName name="wrn.VENTAS.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wrn.ventas.1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wvu.Print_Todo." hidden="1">{TRUE,TRUE,-1.25,-15.5,484.5,276.75,FALSE,TRUE,TRUE,TRUE,0,1,1,300,1,1.96296296296296,1.15384615384615,4,TRUE,TRUE,3,TRUE,1,FALSE,75,"Swvu.Print_Todo.","ACwvu.Print_Todo.",#N/A,FALSE,FALSE,0,0,0,0,2,"","",FALSE,FALSE,TRUE,FALSE,1,#N/A,2,10,"=R1C1:R636C40",FALSE,#N/A,#N/A,FALSE,FALSE,FALSE,9,300,300,FALSE,TRUE,TRUE,TRUE,TRUE}</definedName>
    <definedName name="wvu.Socios._.95.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wwww">{0;0;0;0;9;#N/A;0.75;0.75;1;1;1;FALSE;FALSE;FALSE;FALSE;FALSE;#N/A;1;100;#N/A;#N/A;"&amp;A";"Page &amp;P"}</definedName>
    <definedName name="wwwww">{0;0;0;0;1;#N/A;0.5;0.5;0.75;0.75;2;TRUE;TRUE;FALSE;FALSE;FALSE;#N/A;1;#N/A;1;1;"&amp;L&amp;7 RAMIBD05\GROUPS\EMG\DESOUSA\BRAZIL\MACHADIB\MODEL\MODEL_12.XLS -- &amp;D, &amp;T -- Page &amp;P of &amp;N
&amp;7";"&amp;L&amp;F&amp;A&amp;RPage&amp;P"}</definedName>
    <definedName name="xx" hidden="1">{"'Database'!$A$1:$F$130"}</definedName>
    <definedName name="XXX">{0;0;0;0;1;#N/A;0.5;0.5;0.75;0.75;2;TRUE;TRUE;FALSE;FALSE;FALSE;#N/A;1;#N/A;1;1;"&amp;L&amp;7 RAMIBD05\GROUPS\EMG\DESOUSA\BRAZIL\MACHADIB\MODEL\MODEL_12.XLS -- &amp;D, &amp;T -- Page &amp;P of &amp;N
&amp;7";"&amp;L&amp;F&amp;A&amp;RPage&amp;P"}</definedName>
    <definedName name="xxxx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Zone_impres_MI">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7" i="653" l="1"/>
  <c r="C65" i="544" l="1"/>
  <c r="C64" i="544"/>
  <c r="C63" i="544"/>
  <c r="B64" i="544"/>
  <c r="B63" i="544"/>
  <c r="B66" i="544"/>
  <c r="N53" i="696"/>
  <c r="N52" i="696"/>
  <c r="E6" i="688"/>
  <c r="B65" i="544" l="1"/>
  <c r="G18" i="691"/>
  <c r="H18" i="691"/>
  <c r="B5" i="574"/>
  <c r="B4" i="574"/>
  <c r="B6" i="316"/>
  <c r="C11" i="316"/>
  <c r="B10" i="493" l="1"/>
  <c r="B24" i="691"/>
  <c r="E23" i="691"/>
  <c r="D23" i="691"/>
  <c r="E22" i="691"/>
  <c r="D22" i="691"/>
  <c r="C22" i="691"/>
  <c r="B22" i="691"/>
  <c r="B5" i="494"/>
  <c r="D30" i="688"/>
  <c r="S17" i="696" s="1"/>
  <c r="U18" i="696" s="1"/>
  <c r="D29" i="688"/>
  <c r="D28" i="688"/>
  <c r="D27" i="688"/>
  <c r="D6" i="688"/>
  <c r="R52" i="696"/>
  <c r="S18" i="696" l="1"/>
  <c r="T18" i="696"/>
  <c r="H5" i="691" l="1"/>
  <c r="H6" i="691"/>
  <c r="H7" i="691"/>
  <c r="H8" i="691"/>
  <c r="H9" i="691"/>
  <c r="H10" i="691"/>
  <c r="F11" i="691"/>
  <c r="E11" i="691"/>
  <c r="D11" i="691"/>
  <c r="C11" i="691"/>
  <c r="B11" i="691"/>
  <c r="G11" i="691" s="1"/>
  <c r="G5" i="691"/>
  <c r="G6" i="691"/>
  <c r="G7" i="691"/>
  <c r="G8" i="691"/>
  <c r="G9" i="691"/>
  <c r="G10" i="691"/>
  <c r="G12" i="691"/>
  <c r="G13" i="691"/>
  <c r="G14" i="691"/>
  <c r="G15" i="691"/>
  <c r="F4" i="691"/>
  <c r="E4" i="691"/>
  <c r="D4" i="691"/>
  <c r="C4" i="691"/>
  <c r="B4" i="691"/>
  <c r="E16" i="695" l="1"/>
  <c r="F13" i="493"/>
  <c r="B18" i="544"/>
  <c r="B23" i="544" s="1"/>
  <c r="B27" i="544" s="1"/>
  <c r="U10" i="578"/>
  <c r="T10" i="578"/>
  <c r="S10" i="578"/>
  <c r="R10" i="578"/>
  <c r="Q10" i="578"/>
  <c r="P10" i="578"/>
  <c r="O10" i="578"/>
  <c r="N10" i="578"/>
  <c r="M10" i="578"/>
  <c r="L10" i="578"/>
  <c r="K10" i="578"/>
  <c r="J10" i="578"/>
  <c r="I10" i="578"/>
  <c r="H10" i="578"/>
  <c r="G10" i="578"/>
  <c r="F10" i="578"/>
  <c r="E10" i="578"/>
  <c r="D10" i="578"/>
  <c r="C10" i="578"/>
  <c r="B10" i="578"/>
  <c r="C44" i="544"/>
  <c r="D44" i="544"/>
  <c r="E44" i="544"/>
  <c r="F44" i="544"/>
  <c r="G44" i="544"/>
  <c r="H44" i="544"/>
  <c r="J44" i="544"/>
  <c r="K44" i="544"/>
  <c r="L44" i="544"/>
  <c r="M44" i="544"/>
  <c r="N44" i="544"/>
  <c r="O44" i="544"/>
  <c r="P44" i="544"/>
  <c r="Q44" i="544"/>
  <c r="R44" i="544"/>
  <c r="S44" i="544"/>
  <c r="T44" i="544"/>
  <c r="U44" i="544"/>
  <c r="V44" i="544"/>
  <c r="B44" i="544"/>
  <c r="C43" i="544"/>
  <c r="D43" i="544"/>
  <c r="E43" i="544"/>
  <c r="F43" i="544"/>
  <c r="G43" i="544"/>
  <c r="I43" i="544"/>
  <c r="J43" i="544"/>
  <c r="K43" i="544"/>
  <c r="L43" i="544"/>
  <c r="N43" i="544"/>
  <c r="O43" i="544"/>
  <c r="P43" i="544"/>
  <c r="Q43" i="544"/>
  <c r="S43" i="544"/>
  <c r="T43" i="544"/>
  <c r="U43" i="544"/>
  <c r="V43" i="544"/>
  <c r="D42" i="544"/>
  <c r="E42" i="544"/>
  <c r="F42" i="544"/>
  <c r="G42" i="544"/>
  <c r="I42" i="544"/>
  <c r="J42" i="544"/>
  <c r="K42" i="544"/>
  <c r="L42" i="544"/>
  <c r="M42" i="544"/>
  <c r="O42" i="544"/>
  <c r="P42" i="544"/>
  <c r="Q42" i="544"/>
  <c r="R42" i="544"/>
  <c r="S42" i="544"/>
  <c r="U42" i="544"/>
  <c r="V42" i="544"/>
  <c r="C42" i="544"/>
  <c r="V41" i="544"/>
  <c r="V39" i="544"/>
  <c r="U39" i="544"/>
  <c r="P39" i="544"/>
  <c r="O39" i="544"/>
  <c r="N39" i="544"/>
  <c r="I39" i="544"/>
  <c r="H39" i="544"/>
  <c r="G39" i="544"/>
  <c r="W18" i="544"/>
  <c r="D3" i="544"/>
  <c r="G10" i="676"/>
  <c r="H10" i="676"/>
  <c r="I10" i="676"/>
  <c r="N10" i="676"/>
  <c r="O10" i="676"/>
  <c r="P10" i="676"/>
  <c r="U10" i="676"/>
  <c r="V10" i="676"/>
  <c r="C5" i="676"/>
  <c r="C25" i="586"/>
  <c r="C26" i="586"/>
  <c r="C27" i="586"/>
  <c r="C24" i="586"/>
  <c r="V37" i="544" l="1"/>
  <c r="B31" i="544"/>
  <c r="D22" i="682" s="1"/>
  <c r="E3" i="544"/>
  <c r="J9" i="676"/>
  <c r="C8" i="676"/>
  <c r="D4" i="676"/>
  <c r="C10" i="676" l="1"/>
  <c r="C39" i="544" s="1"/>
  <c r="C13" i="676"/>
  <c r="D26" i="682"/>
  <c r="D32" i="682" s="1"/>
  <c r="D25" i="682"/>
  <c r="D28" i="682" s="1"/>
  <c r="F3" i="544"/>
  <c r="Q9" i="676"/>
  <c r="Q10" i="676" s="1"/>
  <c r="Q39" i="544" s="1"/>
  <c r="J10" i="676"/>
  <c r="J39" i="544" s="1"/>
  <c r="E4" i="676"/>
  <c r="D5" i="676"/>
  <c r="C14" i="676" l="1"/>
  <c r="C21" i="544" s="1"/>
  <c r="D13" i="676"/>
  <c r="D30" i="682"/>
  <c r="D29" i="682"/>
  <c r="D34" i="682"/>
  <c r="D33" i="682"/>
  <c r="G3" i="544"/>
  <c r="D8" i="676"/>
  <c r="D10" i="676" s="1"/>
  <c r="D39" i="544" s="1"/>
  <c r="K9" i="676"/>
  <c r="F4" i="676"/>
  <c r="E5" i="676"/>
  <c r="E13" i="676" l="1"/>
  <c r="D14" i="676"/>
  <c r="D21" i="544" s="1"/>
  <c r="B33" i="544"/>
  <c r="B35" i="544" s="1"/>
  <c r="H3" i="544"/>
  <c r="R9" i="676"/>
  <c r="R10" i="676" s="1"/>
  <c r="R39" i="544" s="1"/>
  <c r="K10" i="676"/>
  <c r="K39" i="544" s="1"/>
  <c r="E8" i="676"/>
  <c r="E10" i="676" s="1"/>
  <c r="E39" i="544" s="1"/>
  <c r="L9" i="676"/>
  <c r="F5" i="676"/>
  <c r="G4" i="676"/>
  <c r="G5" i="676" s="1"/>
  <c r="F13" i="676" l="1"/>
  <c r="E14" i="676"/>
  <c r="E21" i="544" s="1"/>
  <c r="I3" i="544"/>
  <c r="S9" i="676"/>
  <c r="S10" i="676" s="1"/>
  <c r="S39" i="544" s="1"/>
  <c r="L10" i="676"/>
  <c r="L39" i="544" s="1"/>
  <c r="M9" i="676"/>
  <c r="F8" i="676"/>
  <c r="F10" i="676" s="1"/>
  <c r="F39" i="544" s="1"/>
  <c r="G13" i="676" l="1"/>
  <c r="F14" i="676"/>
  <c r="F21" i="544" s="1"/>
  <c r="J3" i="544"/>
  <c r="T9" i="676"/>
  <c r="T10" i="676" s="1"/>
  <c r="T39" i="544" s="1"/>
  <c r="M10" i="676"/>
  <c r="M39" i="544" s="1"/>
  <c r="H13" i="676" l="1"/>
  <c r="G14" i="676"/>
  <c r="G21" i="544" s="1"/>
  <c r="K3" i="544"/>
  <c r="I13" i="676" l="1"/>
  <c r="H14" i="676"/>
  <c r="H21" i="544" s="1"/>
  <c r="L3" i="544"/>
  <c r="J13" i="676" l="1"/>
  <c r="I14" i="676"/>
  <c r="I21" i="544" s="1"/>
  <c r="M3" i="544"/>
  <c r="K13" i="676" l="1"/>
  <c r="J14" i="676"/>
  <c r="J21" i="544" s="1"/>
  <c r="N3" i="544"/>
  <c r="L13" i="676" l="1"/>
  <c r="K14" i="676"/>
  <c r="K21" i="544" s="1"/>
  <c r="O3" i="544"/>
  <c r="M13" i="676" l="1"/>
  <c r="L14" i="676"/>
  <c r="L21" i="544" s="1"/>
  <c r="P3" i="544"/>
  <c r="N13" i="676" l="1"/>
  <c r="M14" i="676"/>
  <c r="M21" i="544" s="1"/>
  <c r="Q3" i="544"/>
  <c r="O13" i="676" l="1"/>
  <c r="N14" i="676"/>
  <c r="N21" i="544" s="1"/>
  <c r="R3" i="544"/>
  <c r="P13" i="676" l="1"/>
  <c r="O14" i="676"/>
  <c r="O21" i="544" s="1"/>
  <c r="S3" i="544"/>
  <c r="Q13" i="676" l="1"/>
  <c r="P14" i="676"/>
  <c r="P21" i="544" s="1"/>
  <c r="T3" i="544"/>
  <c r="R13" i="676" l="1"/>
  <c r="Q14" i="676"/>
  <c r="Q21" i="544" s="1"/>
  <c r="U3" i="544"/>
  <c r="S13" i="676" l="1"/>
  <c r="R14" i="676"/>
  <c r="R21" i="544" s="1"/>
  <c r="V3" i="544"/>
  <c r="T13" i="676" l="1"/>
  <c r="S14" i="676"/>
  <c r="S21" i="544" s="1"/>
  <c r="C5" i="574"/>
  <c r="B12" i="574" s="1"/>
  <c r="B12" i="578" s="1"/>
  <c r="C12" i="578" s="1"/>
  <c r="D12" i="578" s="1"/>
  <c r="E12" i="578" s="1"/>
  <c r="F12" i="578" s="1"/>
  <c r="B46" i="586"/>
  <c r="B45" i="586"/>
  <c r="B44" i="586"/>
  <c r="B43" i="586"/>
  <c r="W15" i="654"/>
  <c r="W16" i="654"/>
  <c r="W17" i="654"/>
  <c r="W18" i="654"/>
  <c r="W14" i="654"/>
  <c r="C7" i="657"/>
  <c r="D7" i="657"/>
  <c r="E7" i="657"/>
  <c r="F7" i="657"/>
  <c r="G7" i="657"/>
  <c r="H7" i="657"/>
  <c r="I7" i="657"/>
  <c r="J7" i="657"/>
  <c r="K7" i="657"/>
  <c r="L7" i="657"/>
  <c r="M7" i="657"/>
  <c r="N7" i="657"/>
  <c r="O7" i="657"/>
  <c r="P7" i="657"/>
  <c r="Q7" i="657"/>
  <c r="R7" i="657"/>
  <c r="S7" i="657"/>
  <c r="T7" i="657"/>
  <c r="U7" i="657"/>
  <c r="B7" i="657"/>
  <c r="C7" i="653"/>
  <c r="C8" i="653" s="1"/>
  <c r="D7" i="653"/>
  <c r="D8" i="653" s="1"/>
  <c r="E7" i="653"/>
  <c r="E8" i="653" s="1"/>
  <c r="F7" i="653"/>
  <c r="F8" i="653" s="1"/>
  <c r="G7" i="653"/>
  <c r="G8" i="653" s="1"/>
  <c r="H7" i="653"/>
  <c r="H8" i="653" s="1"/>
  <c r="I8" i="653"/>
  <c r="I44" i="544" s="1"/>
  <c r="J7" i="653"/>
  <c r="J8" i="653" s="1"/>
  <c r="K7" i="653"/>
  <c r="K8" i="653" s="1"/>
  <c r="L7" i="653"/>
  <c r="L8" i="653" s="1"/>
  <c r="M7" i="653"/>
  <c r="M8" i="653" s="1"/>
  <c r="N7" i="653"/>
  <c r="N8" i="653" s="1"/>
  <c r="O7" i="653"/>
  <c r="O8" i="653" s="1"/>
  <c r="P7" i="653"/>
  <c r="P8" i="653" s="1"/>
  <c r="Q7" i="653"/>
  <c r="Q8" i="653" s="1"/>
  <c r="R7" i="653"/>
  <c r="R8" i="653" s="1"/>
  <c r="S7" i="653"/>
  <c r="S8" i="653" s="1"/>
  <c r="T7" i="653"/>
  <c r="T8" i="653" s="1"/>
  <c r="U7" i="653"/>
  <c r="U8" i="653" s="1"/>
  <c r="B7" i="653"/>
  <c r="B8" i="653" s="1"/>
  <c r="D10" i="652"/>
  <c r="B58" i="652"/>
  <c r="B59" i="652" s="1"/>
  <c r="B60" i="652" s="1"/>
  <c r="B61" i="652" s="1"/>
  <c r="B62" i="652" s="1"/>
  <c r="B63" i="652" s="1"/>
  <c r="B64" i="652" s="1"/>
  <c r="B65" i="652" s="1"/>
  <c r="B66" i="652" s="1"/>
  <c r="D31" i="652"/>
  <c r="D30" i="652"/>
  <c r="D29" i="652"/>
  <c r="D28" i="652"/>
  <c r="D27" i="652"/>
  <c r="D26" i="652"/>
  <c r="D25" i="652"/>
  <c r="D24" i="652"/>
  <c r="D23" i="652"/>
  <c r="D22" i="652"/>
  <c r="B11" i="652"/>
  <c r="E18" i="654"/>
  <c r="F18" i="654"/>
  <c r="G18" i="654"/>
  <c r="H18" i="654"/>
  <c r="I18" i="654"/>
  <c r="J18" i="654"/>
  <c r="J19" i="654" s="1"/>
  <c r="K18" i="654"/>
  <c r="K19" i="654" s="1"/>
  <c r="L18" i="654"/>
  <c r="L19" i="654" s="1"/>
  <c r="M18" i="654"/>
  <c r="N18" i="654"/>
  <c r="O18" i="654"/>
  <c r="P18" i="654"/>
  <c r="Q18" i="654"/>
  <c r="R18" i="654"/>
  <c r="R19" i="654" s="1"/>
  <c r="S18" i="654"/>
  <c r="S19" i="654" s="1"/>
  <c r="T18" i="654"/>
  <c r="T19" i="654" s="1"/>
  <c r="U18" i="654"/>
  <c r="V18" i="654"/>
  <c r="D18" i="654"/>
  <c r="D28" i="654"/>
  <c r="E28" i="654"/>
  <c r="F28" i="654"/>
  <c r="G28" i="654"/>
  <c r="H28" i="654"/>
  <c r="I28" i="654"/>
  <c r="J28" i="654"/>
  <c r="K28" i="654"/>
  <c r="L28" i="654"/>
  <c r="M28" i="654"/>
  <c r="N28" i="654"/>
  <c r="O28" i="654"/>
  <c r="P28" i="654"/>
  <c r="Q28" i="654"/>
  <c r="R28" i="654"/>
  <c r="S28" i="654"/>
  <c r="T28" i="654"/>
  <c r="U28" i="654"/>
  <c r="V28" i="654"/>
  <c r="W28" i="654"/>
  <c r="C28" i="654"/>
  <c r="D24" i="654"/>
  <c r="E24" i="654"/>
  <c r="F24" i="654"/>
  <c r="G24" i="654"/>
  <c r="H24" i="654"/>
  <c r="I24" i="654"/>
  <c r="J24" i="654"/>
  <c r="K24" i="654"/>
  <c r="L24" i="654"/>
  <c r="M24" i="654"/>
  <c r="N24" i="654"/>
  <c r="O24" i="654"/>
  <c r="P24" i="654"/>
  <c r="Q24" i="654"/>
  <c r="R24" i="654"/>
  <c r="S24" i="654"/>
  <c r="T24" i="654"/>
  <c r="U24" i="654"/>
  <c r="V24" i="654"/>
  <c r="W24" i="654"/>
  <c r="C24" i="654"/>
  <c r="W19" i="654"/>
  <c r="V19" i="654"/>
  <c r="U19" i="654"/>
  <c r="Q19" i="654"/>
  <c r="P19" i="654"/>
  <c r="O19" i="654"/>
  <c r="N19" i="654"/>
  <c r="M19" i="654"/>
  <c r="I19" i="654"/>
  <c r="H19" i="654"/>
  <c r="G19" i="654"/>
  <c r="F19" i="654"/>
  <c r="E19" i="654"/>
  <c r="D19" i="654"/>
  <c r="C19" i="654"/>
  <c r="D9" i="654"/>
  <c r="E9" i="654"/>
  <c r="F9" i="654"/>
  <c r="G9" i="654"/>
  <c r="H9" i="654"/>
  <c r="I9" i="654"/>
  <c r="J9" i="654"/>
  <c r="K9" i="654"/>
  <c r="L9" i="654"/>
  <c r="M9" i="654"/>
  <c r="N9" i="654"/>
  <c r="O9" i="654"/>
  <c r="P9" i="654"/>
  <c r="Q9" i="654"/>
  <c r="R9" i="654"/>
  <c r="S9" i="654"/>
  <c r="T9" i="654"/>
  <c r="U9" i="654"/>
  <c r="V9" i="654"/>
  <c r="W9" i="654"/>
  <c r="C9" i="654"/>
  <c r="W34" i="646"/>
  <c r="W35" i="646"/>
  <c r="W36" i="646"/>
  <c r="W37" i="646"/>
  <c r="W23" i="646"/>
  <c r="J34" i="646"/>
  <c r="K34" i="646"/>
  <c r="C42" i="646"/>
  <c r="C43" i="646"/>
  <c r="E27" i="646"/>
  <c r="E31" i="646"/>
  <c r="H31" i="646"/>
  <c r="I31" i="646"/>
  <c r="E34" i="646"/>
  <c r="F34" i="646"/>
  <c r="G34" i="646"/>
  <c r="H34" i="646"/>
  <c r="I34" i="646"/>
  <c r="L34" i="646"/>
  <c r="M34" i="646"/>
  <c r="E35" i="646"/>
  <c r="F35" i="646"/>
  <c r="G35" i="646"/>
  <c r="H35" i="646"/>
  <c r="I35" i="646"/>
  <c r="J35" i="646"/>
  <c r="K35" i="646"/>
  <c r="L35" i="646"/>
  <c r="M35" i="646"/>
  <c r="N35" i="646"/>
  <c r="O35" i="646"/>
  <c r="P35" i="646"/>
  <c r="Q35" i="646"/>
  <c r="R35" i="646"/>
  <c r="S35" i="646"/>
  <c r="T35" i="646"/>
  <c r="U35" i="646"/>
  <c r="V35" i="646"/>
  <c r="E36" i="646"/>
  <c r="F36" i="646"/>
  <c r="G36" i="646"/>
  <c r="H36" i="646"/>
  <c r="I36" i="646"/>
  <c r="J36" i="646"/>
  <c r="K36" i="646"/>
  <c r="L36" i="646"/>
  <c r="M36" i="646"/>
  <c r="N36" i="646"/>
  <c r="O36" i="646"/>
  <c r="P36" i="646"/>
  <c r="Q36" i="646"/>
  <c r="R36" i="646"/>
  <c r="S36" i="646"/>
  <c r="T36" i="646"/>
  <c r="U36" i="646"/>
  <c r="V36" i="646"/>
  <c r="E37" i="646"/>
  <c r="F37" i="646"/>
  <c r="G37" i="646"/>
  <c r="H37" i="646"/>
  <c r="I37" i="646"/>
  <c r="J37" i="646"/>
  <c r="K37" i="646"/>
  <c r="L37" i="646"/>
  <c r="M37" i="646"/>
  <c r="N37" i="646"/>
  <c r="O37" i="646"/>
  <c r="P37" i="646"/>
  <c r="Q37" i="646"/>
  <c r="R37" i="646"/>
  <c r="S37" i="646"/>
  <c r="T37" i="646"/>
  <c r="U37" i="646"/>
  <c r="V37" i="646"/>
  <c r="D26" i="646"/>
  <c r="D27" i="646"/>
  <c r="D30" i="646"/>
  <c r="D33" i="646"/>
  <c r="D34" i="646"/>
  <c r="D35" i="646"/>
  <c r="D36" i="646"/>
  <c r="D37" i="646"/>
  <c r="D13" i="646"/>
  <c r="D32" i="646" s="1"/>
  <c r="D12" i="646"/>
  <c r="E13" i="646" s="1"/>
  <c r="F33" i="646" s="1"/>
  <c r="D11" i="646"/>
  <c r="E12" i="646" s="1"/>
  <c r="F13" i="646" s="1"/>
  <c r="G33" i="646" s="1"/>
  <c r="D10" i="646"/>
  <c r="E11" i="646" s="1"/>
  <c r="F12" i="646" s="1"/>
  <c r="G13" i="646" s="1"/>
  <c r="H33" i="646" s="1"/>
  <c r="D9" i="646"/>
  <c r="E10" i="646" s="1"/>
  <c r="F11" i="646" s="1"/>
  <c r="G12" i="646" s="1"/>
  <c r="H13" i="646" s="1"/>
  <c r="D8" i="646"/>
  <c r="E9" i="646" s="1"/>
  <c r="F10" i="646" s="1"/>
  <c r="G11" i="646" s="1"/>
  <c r="H12" i="646" s="1"/>
  <c r="I13" i="646" s="1"/>
  <c r="D7" i="646"/>
  <c r="E8" i="646" s="1"/>
  <c r="F9" i="646" s="1"/>
  <c r="G10" i="646" s="1"/>
  <c r="H11" i="646" s="1"/>
  <c r="I12" i="646" s="1"/>
  <c r="J13" i="646" s="1"/>
  <c r="K33" i="646" s="1"/>
  <c r="D6" i="646"/>
  <c r="D5" i="646"/>
  <c r="E6" i="646" s="1"/>
  <c r="F7" i="646" s="1"/>
  <c r="G8" i="646" s="1"/>
  <c r="H9" i="646" s="1"/>
  <c r="I10" i="646" s="1"/>
  <c r="J11" i="646" s="1"/>
  <c r="K12" i="646" s="1"/>
  <c r="L13" i="646" s="1"/>
  <c r="C19" i="646"/>
  <c r="C49" i="646" s="1"/>
  <c r="U13" i="676" l="1"/>
  <c r="T14" i="676"/>
  <c r="T21" i="544" s="1"/>
  <c r="E30" i="646"/>
  <c r="D29" i="646"/>
  <c r="H12" i="574"/>
  <c r="G12" i="578" s="1"/>
  <c r="H12" i="578" s="1"/>
  <c r="I12" i="578" s="1"/>
  <c r="J12" i="578" s="1"/>
  <c r="K12" i="578" s="1"/>
  <c r="B67" i="652"/>
  <c r="B68" i="652" s="1"/>
  <c r="B69" i="652" s="1"/>
  <c r="B70" i="652" s="1"/>
  <c r="B71" i="652" s="1"/>
  <c r="B72" i="652" s="1"/>
  <c r="E56" i="652"/>
  <c r="E33" i="646"/>
  <c r="F29" i="646"/>
  <c r="H32" i="646"/>
  <c r="E29" i="646"/>
  <c r="D25" i="646"/>
  <c r="F32" i="646"/>
  <c r="H30" i="646"/>
  <c r="M14" i="646"/>
  <c r="M33" i="646" s="1"/>
  <c r="I32" i="646"/>
  <c r="E32" i="646"/>
  <c r="G30" i="646"/>
  <c r="F28" i="646"/>
  <c r="D31" i="646"/>
  <c r="F30" i="646"/>
  <c r="E28" i="646"/>
  <c r="D28" i="646"/>
  <c r="J32" i="646"/>
  <c r="G31" i="646"/>
  <c r="G29" i="646"/>
  <c r="I33" i="646"/>
  <c r="J33" i="646"/>
  <c r="D24" i="646"/>
  <c r="F31" i="646"/>
  <c r="G32" i="646"/>
  <c r="K31" i="646"/>
  <c r="I29" i="646"/>
  <c r="G27" i="646"/>
  <c r="E25" i="646"/>
  <c r="L32" i="646"/>
  <c r="J30" i="646"/>
  <c r="H28" i="646"/>
  <c r="F26" i="646"/>
  <c r="E7" i="646"/>
  <c r="V13" i="676" l="1"/>
  <c r="V14" i="676" s="1"/>
  <c r="V21" i="544" s="1"/>
  <c r="U14" i="676"/>
  <c r="U21" i="544" s="1"/>
  <c r="M12" i="574"/>
  <c r="L12" i="578" s="1"/>
  <c r="M12" i="578" s="1"/>
  <c r="N12" i="578" s="1"/>
  <c r="O12" i="578" s="1"/>
  <c r="P12" i="578" s="1"/>
  <c r="D18" i="652"/>
  <c r="D15" i="652"/>
  <c r="D20" i="652"/>
  <c r="D12" i="652"/>
  <c r="E12" i="652" s="1"/>
  <c r="D16" i="652"/>
  <c r="D21" i="652"/>
  <c r="D13" i="652"/>
  <c r="D17" i="652"/>
  <c r="D14" i="652"/>
  <c r="D19" i="652"/>
  <c r="N34" i="646"/>
  <c r="E26" i="646"/>
  <c r="O34" i="646"/>
  <c r="F8" i="646"/>
  <c r="R12" i="574" l="1"/>
  <c r="Q12" i="578" s="1"/>
  <c r="R12" i="578" s="1"/>
  <c r="S12" i="578" s="1"/>
  <c r="T12" i="578" s="1"/>
  <c r="U12" i="578" s="1"/>
  <c r="B12" i="652"/>
  <c r="E13" i="652"/>
  <c r="G9" i="646"/>
  <c r="G28" i="646"/>
  <c r="F27" i="646"/>
  <c r="B13" i="652" l="1"/>
  <c r="E14" i="652"/>
  <c r="H10" i="646"/>
  <c r="H29" i="646"/>
  <c r="E15" i="652" l="1"/>
  <c r="B14" i="652"/>
  <c r="I11" i="646"/>
  <c r="I30" i="646"/>
  <c r="E16" i="652" l="1"/>
  <c r="B15" i="652"/>
  <c r="J12" i="646"/>
  <c r="J31" i="646"/>
  <c r="B16" i="652" l="1"/>
  <c r="E17" i="652"/>
  <c r="K13" i="646"/>
  <c r="L33" i="646" s="1"/>
  <c r="K32" i="646"/>
  <c r="E18" i="652" l="1"/>
  <c r="B17" i="652"/>
  <c r="B18" i="652" l="1"/>
  <c r="E19" i="652"/>
  <c r="P34" i="646"/>
  <c r="E20" i="652" l="1"/>
  <c r="B19" i="652"/>
  <c r="C47" i="646"/>
  <c r="E58" i="494"/>
  <c r="D14" i="494" s="1"/>
  <c r="E14" i="494" s="1"/>
  <c r="D26" i="494"/>
  <c r="D27" i="494"/>
  <c r="D28" i="494"/>
  <c r="D29" i="494"/>
  <c r="D30" i="494"/>
  <c r="D31" i="494"/>
  <c r="D32" i="494"/>
  <c r="D33" i="494"/>
  <c r="D25" i="494"/>
  <c r="B60" i="494"/>
  <c r="B61" i="494" s="1"/>
  <c r="B62" i="494" s="1"/>
  <c r="B63" i="494" s="1"/>
  <c r="B64" i="494" s="1"/>
  <c r="B65" i="494" s="1"/>
  <c r="B66" i="494" s="1"/>
  <c r="B67" i="494" s="1"/>
  <c r="B68" i="494" s="1"/>
  <c r="B69" i="494" s="1"/>
  <c r="B70" i="494" s="1"/>
  <c r="B71" i="494" s="1"/>
  <c r="B72" i="494" s="1"/>
  <c r="B73" i="494" s="1"/>
  <c r="B74" i="494" s="1"/>
  <c r="B7" i="494"/>
  <c r="B7" i="578" s="1"/>
  <c r="B13" i="494"/>
  <c r="B4" i="492"/>
  <c r="D11" i="492"/>
  <c r="C11" i="492"/>
  <c r="B7" i="492"/>
  <c r="D13" i="688"/>
  <c r="D7" i="688"/>
  <c r="D5" i="688" s="1"/>
  <c r="D13" i="493"/>
  <c r="D31" i="688"/>
  <c r="D32" i="688"/>
  <c r="E10" i="695" l="1"/>
  <c r="D14" i="688"/>
  <c r="E12" i="695" s="1"/>
  <c r="F11" i="492"/>
  <c r="D8" i="688"/>
  <c r="C4" i="544"/>
  <c r="B11" i="316"/>
  <c r="B11" i="492"/>
  <c r="E21" i="652"/>
  <c r="B20" i="652"/>
  <c r="W16" i="646"/>
  <c r="D24" i="494"/>
  <c r="D18" i="494"/>
  <c r="D19" i="494"/>
  <c r="D17" i="494"/>
  <c r="D21" i="494"/>
  <c r="D16" i="494"/>
  <c r="D23" i="494"/>
  <c r="D15" i="494"/>
  <c r="E15" i="494" s="1"/>
  <c r="D20" i="494"/>
  <c r="D22" i="494"/>
  <c r="B14" i="494"/>
  <c r="G11" i="492"/>
  <c r="G10" i="493"/>
  <c r="E13" i="493" s="1"/>
  <c r="B19" i="493"/>
  <c r="B21" i="493" s="1"/>
  <c r="B3" i="493" s="1"/>
  <c r="C16" i="691"/>
  <c r="C17" i="691" s="1"/>
  <c r="D16" i="691"/>
  <c r="D17" i="691" s="1"/>
  <c r="E16" i="691"/>
  <c r="F16" i="691"/>
  <c r="B16" i="691"/>
  <c r="H11" i="691"/>
  <c r="H12" i="691"/>
  <c r="H13" i="691"/>
  <c r="H14" i="691"/>
  <c r="H15" i="691"/>
  <c r="H4" i="691"/>
  <c r="G4" i="691"/>
  <c r="C5" i="316" l="1"/>
  <c r="D4" i="646"/>
  <c r="E5" i="646" s="1"/>
  <c r="E24" i="646" s="1"/>
  <c r="B6" i="586"/>
  <c r="D39" i="586" s="1"/>
  <c r="C3" i="574"/>
  <c r="C4" i="574"/>
  <c r="H11" i="492"/>
  <c r="I11" i="492" s="1"/>
  <c r="D19" i="646"/>
  <c r="D49" i="646" s="1"/>
  <c r="C5" i="544"/>
  <c r="D4" i="544"/>
  <c r="D36" i="586"/>
  <c r="D46" i="586"/>
  <c r="E46" i="586" s="1"/>
  <c r="D43" i="586"/>
  <c r="E43" i="586" s="1"/>
  <c r="H16" i="691"/>
  <c r="B17" i="691"/>
  <c r="H17" i="691" s="1"/>
  <c r="B21" i="652"/>
  <c r="E22" i="652"/>
  <c r="B15" i="494"/>
  <c r="E16" i="494"/>
  <c r="E17" i="494" s="1"/>
  <c r="E18" i="494" s="1"/>
  <c r="E19" i="494" s="1"/>
  <c r="B16" i="494"/>
  <c r="B13" i="493"/>
  <c r="G16" i="691"/>
  <c r="C6" i="316" l="1"/>
  <c r="E4" i="695"/>
  <c r="D47" i="646"/>
  <c r="C7" i="578" s="1"/>
  <c r="D34" i="586"/>
  <c r="D42" i="646"/>
  <c r="D31" i="586"/>
  <c r="D32" i="586"/>
  <c r="D44" i="586"/>
  <c r="E44" i="586" s="1"/>
  <c r="E47" i="586" s="1"/>
  <c r="B12" i="586" s="1"/>
  <c r="D38" i="586"/>
  <c r="D37" i="586"/>
  <c r="C49" i="586"/>
  <c r="C50" i="586" s="1"/>
  <c r="B11" i="574"/>
  <c r="D35" i="586"/>
  <c r="D45" i="586"/>
  <c r="E45" i="586" s="1"/>
  <c r="D33" i="586"/>
  <c r="C7" i="571"/>
  <c r="C8" i="571" s="1"/>
  <c r="C41" i="544" s="1"/>
  <c r="C37" i="544" s="1"/>
  <c r="F6" i="646"/>
  <c r="F25" i="646" s="1"/>
  <c r="E4" i="646"/>
  <c r="C51" i="586"/>
  <c r="E4" i="544"/>
  <c r="D5" i="544"/>
  <c r="D8" i="544" s="1"/>
  <c r="C8" i="544"/>
  <c r="E7" i="695"/>
  <c r="E23" i="652"/>
  <c r="B22" i="652"/>
  <c r="Q34" i="646"/>
  <c r="B18" i="494"/>
  <c r="B17" i="494"/>
  <c r="B19" i="494"/>
  <c r="E20" i="494"/>
  <c r="C13" i="493"/>
  <c r="G13" i="493" s="1"/>
  <c r="B6" i="695"/>
  <c r="B7" i="695" s="1"/>
  <c r="E5" i="695" l="1"/>
  <c r="E6" i="695" s="1"/>
  <c r="D40" i="586"/>
  <c r="B11" i="586" s="1"/>
  <c r="C52" i="586"/>
  <c r="B13" i="586" s="1"/>
  <c r="M13" i="586" s="1"/>
  <c r="L8" i="578" s="1"/>
  <c r="M8" i="578" s="1"/>
  <c r="N8" i="578" s="1"/>
  <c r="O8" i="578" s="1"/>
  <c r="P8" i="578" s="1"/>
  <c r="Q8" i="578" s="1"/>
  <c r="R8" i="578" s="1"/>
  <c r="S8" i="578" s="1"/>
  <c r="T8" i="578" s="1"/>
  <c r="U8" i="578" s="1"/>
  <c r="H11" i="574"/>
  <c r="B11" i="578"/>
  <c r="C11" i="578" s="1"/>
  <c r="D11" i="578" s="1"/>
  <c r="E11" i="578" s="1"/>
  <c r="F11" i="578" s="1"/>
  <c r="B43" i="544"/>
  <c r="E11" i="695"/>
  <c r="E13" i="695"/>
  <c r="B8" i="578"/>
  <c r="D9" i="544"/>
  <c r="F15" i="682" s="1"/>
  <c r="F9" i="682"/>
  <c r="F4" i="544"/>
  <c r="E5" i="544"/>
  <c r="E8" i="544" s="1"/>
  <c r="G7" i="646"/>
  <c r="H12" i="586"/>
  <c r="B9" i="578"/>
  <c r="C9" i="578" s="1"/>
  <c r="D9" i="578" s="1"/>
  <c r="E9" i="578" s="1"/>
  <c r="F9" i="578" s="1"/>
  <c r="G9" i="578" s="1"/>
  <c r="H9" i="578" s="1"/>
  <c r="I9" i="578" s="1"/>
  <c r="J9" i="578" s="1"/>
  <c r="K9" i="578" s="1"/>
  <c r="L9" i="578" s="1"/>
  <c r="M9" i="578" s="1"/>
  <c r="N9" i="578" s="1"/>
  <c r="O9" i="578" s="1"/>
  <c r="P9" i="578" s="1"/>
  <c r="Q9" i="578" s="1"/>
  <c r="R9" i="578" s="1"/>
  <c r="S9" i="578" s="1"/>
  <c r="T9" i="578" s="1"/>
  <c r="U9" i="578" s="1"/>
  <c r="C9" i="544"/>
  <c r="E15" i="682" s="1"/>
  <c r="E9" i="682"/>
  <c r="F5" i="646"/>
  <c r="E42" i="646"/>
  <c r="D7" i="571" s="1"/>
  <c r="D8" i="571" s="1"/>
  <c r="D41" i="544" s="1"/>
  <c r="D37" i="544" s="1"/>
  <c r="E47" i="646"/>
  <c r="D7" i="578" s="1"/>
  <c r="E19" i="646"/>
  <c r="E49" i="646" s="1"/>
  <c r="H13" i="493"/>
  <c r="C19" i="544" s="1"/>
  <c r="E24" i="652"/>
  <c r="B23" i="652"/>
  <c r="E21" i="494"/>
  <c r="B20" i="494"/>
  <c r="C24" i="691" l="1"/>
  <c r="E8" i="695"/>
  <c r="E9" i="695" s="1"/>
  <c r="H43" i="544"/>
  <c r="M11" i="574"/>
  <c r="G11" i="578"/>
  <c r="H11" i="578" s="1"/>
  <c r="I11" i="578" s="1"/>
  <c r="J11" i="578" s="1"/>
  <c r="K11" i="578" s="1"/>
  <c r="D7" i="544"/>
  <c r="C7" i="544"/>
  <c r="H8" i="646"/>
  <c r="H27" i="646" s="1"/>
  <c r="E9" i="544"/>
  <c r="G15" i="682" s="1"/>
  <c r="G9" i="682"/>
  <c r="F11" i="682"/>
  <c r="D13" i="544" s="1"/>
  <c r="F12" i="682"/>
  <c r="N12" i="586"/>
  <c r="H42" i="544"/>
  <c r="F18" i="682"/>
  <c r="D12" i="544" s="1"/>
  <c r="F17" i="682"/>
  <c r="F24" i="646"/>
  <c r="G6" i="646"/>
  <c r="F4" i="646"/>
  <c r="E12" i="682"/>
  <c r="E11" i="682"/>
  <c r="C13" i="544" s="1"/>
  <c r="E17" i="682"/>
  <c r="E18" i="682"/>
  <c r="C12" i="544" s="1"/>
  <c r="C8" i="578"/>
  <c r="B13" i="578"/>
  <c r="C29" i="544" s="1"/>
  <c r="G4" i="544"/>
  <c r="F5" i="544"/>
  <c r="F8" i="544" s="1"/>
  <c r="G26" i="646"/>
  <c r="D19" i="544"/>
  <c r="E25" i="652"/>
  <c r="B24" i="652"/>
  <c r="R34" i="646"/>
  <c r="E22" i="494"/>
  <c r="B21" i="494"/>
  <c r="B1" i="656"/>
  <c r="C19" i="656"/>
  <c r="D19" i="656"/>
  <c r="E19" i="656"/>
  <c r="F19" i="656"/>
  <c r="G19" i="656"/>
  <c r="H19" i="656"/>
  <c r="I19" i="656"/>
  <c r="J19" i="656"/>
  <c r="K19" i="656"/>
  <c r="L19" i="656"/>
  <c r="M19" i="656"/>
  <c r="N19" i="656"/>
  <c r="O19" i="656"/>
  <c r="P19" i="656"/>
  <c r="Q19" i="656"/>
  <c r="R19" i="656"/>
  <c r="B24" i="656"/>
  <c r="B25" i="656" s="1"/>
  <c r="B26" i="656" s="1"/>
  <c r="B27" i="656" s="1"/>
  <c r="B28" i="656" s="1"/>
  <c r="B29" i="656" s="1"/>
  <c r="B30" i="656" s="1"/>
  <c r="B31" i="656" s="1"/>
  <c r="B32" i="656" s="1"/>
  <c r="B33" i="656" s="1"/>
  <c r="B34" i="656" s="1"/>
  <c r="B35" i="656" s="1"/>
  <c r="B36" i="656" s="1"/>
  <c r="B37" i="656" s="1"/>
  <c r="B38" i="656" s="1"/>
  <c r="C39" i="656"/>
  <c r="D39" i="656"/>
  <c r="E39" i="656"/>
  <c r="F39" i="656"/>
  <c r="G39" i="656"/>
  <c r="H39" i="656"/>
  <c r="I39" i="656"/>
  <c r="J39" i="656"/>
  <c r="K39" i="656"/>
  <c r="L39" i="656"/>
  <c r="M39" i="656"/>
  <c r="N39" i="656"/>
  <c r="O39" i="656"/>
  <c r="P39" i="656"/>
  <c r="Q39" i="656"/>
  <c r="R39" i="656"/>
  <c r="C48" i="656"/>
  <c r="D48" i="656"/>
  <c r="E48" i="656"/>
  <c r="F48" i="656"/>
  <c r="G48" i="656"/>
  <c r="H48" i="656"/>
  <c r="I48" i="656"/>
  <c r="J48" i="656"/>
  <c r="K48" i="656"/>
  <c r="L48" i="656"/>
  <c r="M48" i="656"/>
  <c r="N48" i="656"/>
  <c r="O48" i="656"/>
  <c r="P48" i="656"/>
  <c r="Q48" i="656"/>
  <c r="R48" i="656"/>
  <c r="B1" i="692"/>
  <c r="C14" i="692"/>
  <c r="D14" i="692"/>
  <c r="E14" i="692"/>
  <c r="F14" i="692"/>
  <c r="G14" i="692"/>
  <c r="H14" i="692"/>
  <c r="I14" i="692"/>
  <c r="J14" i="692"/>
  <c r="K14" i="692"/>
  <c r="L14" i="692"/>
  <c r="M14" i="692"/>
  <c r="N14" i="692"/>
  <c r="O14" i="692"/>
  <c r="P14" i="692"/>
  <c r="Q14" i="692"/>
  <c r="R14" i="692"/>
  <c r="B19" i="692"/>
  <c r="B20" i="692" s="1"/>
  <c r="B21" i="692" s="1"/>
  <c r="B22" i="692" s="1"/>
  <c r="B23" i="692" s="1"/>
  <c r="B24" i="692" s="1"/>
  <c r="B25" i="692" s="1"/>
  <c r="B26" i="692" s="1"/>
  <c r="B27" i="692" s="1"/>
  <c r="B28" i="692" s="1"/>
  <c r="C29" i="692"/>
  <c r="D29" i="692"/>
  <c r="E29" i="692"/>
  <c r="F29" i="692"/>
  <c r="G29" i="692"/>
  <c r="H29" i="692"/>
  <c r="I29" i="692"/>
  <c r="J29" i="692"/>
  <c r="K29" i="692"/>
  <c r="L29" i="692"/>
  <c r="M29" i="692"/>
  <c r="N29" i="692"/>
  <c r="O29" i="692"/>
  <c r="P29" i="692"/>
  <c r="Q29" i="692"/>
  <c r="R29" i="692"/>
  <c r="C38" i="692"/>
  <c r="D38" i="692"/>
  <c r="E38" i="692"/>
  <c r="F38" i="692"/>
  <c r="G38" i="692"/>
  <c r="H38" i="692"/>
  <c r="I38" i="692"/>
  <c r="J38" i="692"/>
  <c r="K38" i="692"/>
  <c r="L38" i="692"/>
  <c r="M38" i="692"/>
  <c r="N38" i="692"/>
  <c r="O38" i="692"/>
  <c r="P38" i="692"/>
  <c r="Q38" i="692"/>
  <c r="R38" i="692"/>
  <c r="B1" i="649"/>
  <c r="C12" i="649"/>
  <c r="D12" i="649"/>
  <c r="E12" i="649"/>
  <c r="F12" i="649"/>
  <c r="G12" i="649"/>
  <c r="H12" i="649"/>
  <c r="I12" i="649"/>
  <c r="J12" i="649"/>
  <c r="K12" i="649"/>
  <c r="L12" i="649"/>
  <c r="M12" i="649"/>
  <c r="N12" i="649"/>
  <c r="O12" i="649"/>
  <c r="P12" i="649"/>
  <c r="Q12" i="649"/>
  <c r="R12" i="649"/>
  <c r="B17" i="649"/>
  <c r="B18" i="649" s="1"/>
  <c r="B19" i="649" s="1"/>
  <c r="B20" i="649" s="1"/>
  <c r="B21" i="649" s="1"/>
  <c r="B22" i="649" s="1"/>
  <c r="B23" i="649" s="1"/>
  <c r="C25" i="649"/>
  <c r="D25" i="649"/>
  <c r="E25" i="649"/>
  <c r="F25" i="649"/>
  <c r="G25" i="649"/>
  <c r="H25" i="649"/>
  <c r="I25" i="649"/>
  <c r="J25" i="649"/>
  <c r="K25" i="649"/>
  <c r="L25" i="649"/>
  <c r="M25" i="649"/>
  <c r="N25" i="649"/>
  <c r="O25" i="649"/>
  <c r="P25" i="649"/>
  <c r="Q25" i="649"/>
  <c r="R25" i="649"/>
  <c r="C34" i="649"/>
  <c r="D34" i="649"/>
  <c r="E34" i="649"/>
  <c r="F34" i="649"/>
  <c r="G34" i="649"/>
  <c r="H34" i="649"/>
  <c r="I34" i="649"/>
  <c r="J34" i="649"/>
  <c r="K34" i="649"/>
  <c r="L34" i="649"/>
  <c r="M34" i="649"/>
  <c r="N34" i="649"/>
  <c r="O34" i="649"/>
  <c r="P34" i="649"/>
  <c r="Q34" i="649"/>
  <c r="R34" i="649"/>
  <c r="B1" i="686"/>
  <c r="C14" i="686"/>
  <c r="D14" i="686"/>
  <c r="E14" i="686"/>
  <c r="F14" i="686"/>
  <c r="G14" i="686"/>
  <c r="H14" i="686"/>
  <c r="I14" i="686"/>
  <c r="J14" i="686"/>
  <c r="K14" i="686"/>
  <c r="L14" i="686"/>
  <c r="M14" i="686"/>
  <c r="N14" i="686"/>
  <c r="O14" i="686"/>
  <c r="P14" i="686"/>
  <c r="Q14" i="686"/>
  <c r="R14" i="686"/>
  <c r="B19" i="686"/>
  <c r="B20" i="686" s="1"/>
  <c r="B21" i="686" s="1"/>
  <c r="B22" i="686" s="1"/>
  <c r="B23" i="686" s="1"/>
  <c r="B24" i="686" s="1"/>
  <c r="B25" i="686" s="1"/>
  <c r="B26" i="686" s="1"/>
  <c r="B27" i="686" s="1"/>
  <c r="B28" i="686" s="1"/>
  <c r="C29" i="686"/>
  <c r="D29" i="686"/>
  <c r="E29" i="686"/>
  <c r="F29" i="686"/>
  <c r="G29" i="686"/>
  <c r="H29" i="686"/>
  <c r="I29" i="686"/>
  <c r="J29" i="686"/>
  <c r="K29" i="686"/>
  <c r="L29" i="686"/>
  <c r="M29" i="686"/>
  <c r="N29" i="686"/>
  <c r="O29" i="686"/>
  <c r="P29" i="686"/>
  <c r="Q29" i="686"/>
  <c r="R29" i="686"/>
  <c r="C38" i="686"/>
  <c r="D38" i="686"/>
  <c r="E38" i="686"/>
  <c r="F38" i="686"/>
  <c r="G38" i="686"/>
  <c r="H38" i="686"/>
  <c r="I38" i="686"/>
  <c r="J38" i="686"/>
  <c r="K38" i="686"/>
  <c r="L38" i="686"/>
  <c r="M38" i="686"/>
  <c r="N38" i="686"/>
  <c r="O38" i="686"/>
  <c r="P38" i="686"/>
  <c r="Q38" i="686"/>
  <c r="R38" i="686"/>
  <c r="R11" i="574" l="1"/>
  <c r="L11" i="578"/>
  <c r="M11" i="578" s="1"/>
  <c r="N11" i="578" s="1"/>
  <c r="O11" i="578" s="1"/>
  <c r="P11" i="578" s="1"/>
  <c r="M43" i="544"/>
  <c r="G18" i="682"/>
  <c r="E12" i="544" s="1"/>
  <c r="G17" i="682"/>
  <c r="C14" i="544"/>
  <c r="C11" i="544" s="1"/>
  <c r="C16" i="544" s="1"/>
  <c r="T12" i="586"/>
  <c r="T42" i="544" s="1"/>
  <c r="N42" i="544"/>
  <c r="F9" i="544"/>
  <c r="H15" i="682" s="1"/>
  <c r="H9" i="682"/>
  <c r="F47" i="646"/>
  <c r="E7" i="578" s="1"/>
  <c r="F19" i="646"/>
  <c r="F49" i="646" s="1"/>
  <c r="F42" i="646"/>
  <c r="E7" i="571" s="1"/>
  <c r="E8" i="571" s="1"/>
  <c r="E41" i="544" s="1"/>
  <c r="E37" i="544" s="1"/>
  <c r="G5" i="646"/>
  <c r="G24" i="646" s="1"/>
  <c r="D14" i="544"/>
  <c r="D11" i="544" s="1"/>
  <c r="D16" i="544" s="1"/>
  <c r="D8" i="578"/>
  <c r="C13" i="578"/>
  <c r="D29" i="544" s="1"/>
  <c r="H4" i="544"/>
  <c r="G5" i="544"/>
  <c r="G8" i="544" s="1"/>
  <c r="G25" i="646"/>
  <c r="H7" i="646"/>
  <c r="H26" i="646" s="1"/>
  <c r="I9" i="646"/>
  <c r="I28" i="646" s="1"/>
  <c r="G12" i="682"/>
  <c r="G11" i="682"/>
  <c r="E13" i="544" s="1"/>
  <c r="E7" i="544"/>
  <c r="E19" i="544"/>
  <c r="E26" i="652"/>
  <c r="B25" i="652"/>
  <c r="B22" i="494"/>
  <c r="E23" i="494"/>
  <c r="G7" i="693"/>
  <c r="G10" i="693"/>
  <c r="R43" i="544" l="1"/>
  <c r="Q11" i="578"/>
  <c r="R11" i="578" s="1"/>
  <c r="S11" i="578" s="1"/>
  <c r="T11" i="578" s="1"/>
  <c r="U11" i="578" s="1"/>
  <c r="E14" i="544"/>
  <c r="E11" i="544" s="1"/>
  <c r="E16" i="544" s="1"/>
  <c r="E8" i="578"/>
  <c r="F8" i="578" s="1"/>
  <c r="G8" i="578" s="1"/>
  <c r="H8" i="578" s="1"/>
  <c r="I8" i="578" s="1"/>
  <c r="J8" i="578" s="1"/>
  <c r="K8" i="578" s="1"/>
  <c r="D13" i="578"/>
  <c r="E29" i="544" s="1"/>
  <c r="J10" i="646"/>
  <c r="J29" i="646" s="1"/>
  <c r="H17" i="682"/>
  <c r="H18" i="682"/>
  <c r="F12" i="544" s="1"/>
  <c r="I8" i="646"/>
  <c r="I27" i="646" s="1"/>
  <c r="H6" i="646"/>
  <c r="I7" i="646" s="1"/>
  <c r="G4" i="646"/>
  <c r="G9" i="544"/>
  <c r="I15" i="682" s="1"/>
  <c r="I9" i="682"/>
  <c r="H11" i="682"/>
  <c r="F13" i="544" s="1"/>
  <c r="H12" i="682"/>
  <c r="I4" i="544"/>
  <c r="H5" i="544"/>
  <c r="H8" i="544" s="1"/>
  <c r="F7" i="544"/>
  <c r="F19" i="544"/>
  <c r="B26" i="652"/>
  <c r="E27" i="652"/>
  <c r="S34" i="646"/>
  <c r="E24" i="494"/>
  <c r="B23" i="494"/>
  <c r="G8" i="693"/>
  <c r="G7" i="544" l="1"/>
  <c r="F14" i="544"/>
  <c r="F11" i="544" s="1"/>
  <c r="F16" i="544" s="1"/>
  <c r="I26" i="646"/>
  <c r="J8" i="646"/>
  <c r="J9" i="646"/>
  <c r="K10" i="646" s="1"/>
  <c r="I12" i="682"/>
  <c r="I11" i="682"/>
  <c r="G13" i="544" s="1"/>
  <c r="E13" i="578"/>
  <c r="F29" i="544" s="1"/>
  <c r="I18" i="682"/>
  <c r="G12" i="544" s="1"/>
  <c r="I17" i="682"/>
  <c r="H9" i="544"/>
  <c r="J15" i="682" s="1"/>
  <c r="J9" i="682"/>
  <c r="G42" i="646"/>
  <c r="F7" i="571" s="1"/>
  <c r="F8" i="571" s="1"/>
  <c r="F41" i="544" s="1"/>
  <c r="F37" i="544" s="1"/>
  <c r="H5" i="646"/>
  <c r="H24" i="646" s="1"/>
  <c r="G19" i="646"/>
  <c r="G49" i="646" s="1"/>
  <c r="G47" i="646"/>
  <c r="F7" i="578" s="1"/>
  <c r="F13" i="578" s="1"/>
  <c r="G29" i="544" s="1"/>
  <c r="J4" i="544"/>
  <c r="I5" i="544"/>
  <c r="I8" i="544" s="1"/>
  <c r="H25" i="646"/>
  <c r="K11" i="646"/>
  <c r="K30" i="646"/>
  <c r="G19" i="544"/>
  <c r="E28" i="652"/>
  <c r="B27" i="652"/>
  <c r="E25" i="494"/>
  <c r="B24" i="494"/>
  <c r="I9" i="544" l="1"/>
  <c r="K15" i="682" s="1"/>
  <c r="K9" i="682"/>
  <c r="J12" i="682"/>
  <c r="J11" i="682"/>
  <c r="H13" i="544" s="1"/>
  <c r="J17" i="682"/>
  <c r="J18" i="682"/>
  <c r="H12" i="544" s="1"/>
  <c r="I6" i="646"/>
  <c r="J7" i="646" s="1"/>
  <c r="H4" i="646"/>
  <c r="G14" i="544"/>
  <c r="G11" i="544" s="1"/>
  <c r="G16" i="544" s="1"/>
  <c r="K29" i="646"/>
  <c r="L11" i="646"/>
  <c r="K4" i="544"/>
  <c r="J5" i="544"/>
  <c r="J8" i="544" s="1"/>
  <c r="J27" i="646"/>
  <c r="K9" i="646"/>
  <c r="L12" i="646"/>
  <c r="L31" i="646" s="1"/>
  <c r="H7" i="544"/>
  <c r="J28" i="646"/>
  <c r="H19" i="544"/>
  <c r="B28" i="652"/>
  <c r="E29" i="652"/>
  <c r="T34" i="646"/>
  <c r="W18" i="646"/>
  <c r="E26" i="494"/>
  <c r="B25" i="494"/>
  <c r="I25" i="646" l="1"/>
  <c r="I7" i="544"/>
  <c r="K12" i="682"/>
  <c r="K11" i="682"/>
  <c r="I13" i="544" s="1"/>
  <c r="K28" i="646"/>
  <c r="L10" i="646"/>
  <c r="J26" i="646"/>
  <c r="K8" i="646"/>
  <c r="L9" i="646" s="1"/>
  <c r="J9" i="544"/>
  <c r="L15" i="682" s="1"/>
  <c r="L9" i="682"/>
  <c r="M13" i="646"/>
  <c r="N33" i="646" s="1"/>
  <c r="K17" i="682"/>
  <c r="K18" i="682"/>
  <c r="I12" i="544" s="1"/>
  <c r="L30" i="646"/>
  <c r="M12" i="646"/>
  <c r="H19" i="646"/>
  <c r="H49" i="646" s="1"/>
  <c r="H42" i="646"/>
  <c r="G7" i="571" s="1"/>
  <c r="G8" i="571" s="1"/>
  <c r="G41" i="544" s="1"/>
  <c r="G37" i="544" s="1"/>
  <c r="I5" i="646"/>
  <c r="H47" i="646"/>
  <c r="G7" i="578" s="1"/>
  <c r="G13" i="578" s="1"/>
  <c r="H29" i="544" s="1"/>
  <c r="L4" i="544"/>
  <c r="K5" i="544"/>
  <c r="K8" i="544" s="1"/>
  <c r="H14" i="544"/>
  <c r="H11" i="544" s="1"/>
  <c r="H16" i="544" s="1"/>
  <c r="I19" i="544"/>
  <c r="B29" i="652"/>
  <c r="E30" i="652"/>
  <c r="E27" i="494"/>
  <c r="B26" i="494"/>
  <c r="J7" i="544" l="1"/>
  <c r="I14" i="544"/>
  <c r="I11" i="544" s="1"/>
  <c r="I16" i="544" s="1"/>
  <c r="I24" i="646"/>
  <c r="J6" i="646"/>
  <c r="I4" i="646"/>
  <c r="L11" i="682"/>
  <c r="J13" i="544" s="1"/>
  <c r="L12" i="682"/>
  <c r="M31" i="646"/>
  <c r="N13" i="646"/>
  <c r="L18" i="682"/>
  <c r="J12" i="544" s="1"/>
  <c r="L17" i="682"/>
  <c r="K27" i="646"/>
  <c r="K9" i="544"/>
  <c r="M15" i="682" s="1"/>
  <c r="M9" i="682"/>
  <c r="K7" i="544"/>
  <c r="L28" i="646"/>
  <c r="M10" i="646"/>
  <c r="M4" i="544"/>
  <c r="L5" i="544"/>
  <c r="L8" i="544" s="1"/>
  <c r="M32" i="646"/>
  <c r="L29" i="646"/>
  <c r="M11" i="646"/>
  <c r="J19" i="544"/>
  <c r="E31" i="652"/>
  <c r="B31" i="652" s="1"/>
  <c r="B30" i="652"/>
  <c r="W17" i="646"/>
  <c r="E28" i="494"/>
  <c r="B27" i="494"/>
  <c r="B7" i="571" l="1"/>
  <c r="B8" i="571" s="1"/>
  <c r="B7" i="572"/>
  <c r="B8" i="572" s="1"/>
  <c r="C25" i="544" s="1"/>
  <c r="C7" i="572"/>
  <c r="C8" i="572" s="1"/>
  <c r="D25" i="544" s="1"/>
  <c r="D7" i="572"/>
  <c r="D8" i="572" s="1"/>
  <c r="E25" i="544" s="1"/>
  <c r="E7" i="572"/>
  <c r="E8" i="572" s="1"/>
  <c r="F25" i="544" s="1"/>
  <c r="G7" i="572"/>
  <c r="G8" i="572" s="1"/>
  <c r="H25" i="544" s="1"/>
  <c r="F7" i="572"/>
  <c r="F8" i="572" s="1"/>
  <c r="G25" i="544" s="1"/>
  <c r="M29" i="646"/>
  <c r="N11" i="646"/>
  <c r="N32" i="646"/>
  <c r="O33" i="646"/>
  <c r="M30" i="646"/>
  <c r="N12" i="646"/>
  <c r="N31" i="646"/>
  <c r="M12" i="682"/>
  <c r="M11" i="682"/>
  <c r="K13" i="544" s="1"/>
  <c r="J14" i="544"/>
  <c r="J11" i="544" s="1"/>
  <c r="J16" i="544" s="1"/>
  <c r="M17" i="682"/>
  <c r="M18" i="682"/>
  <c r="K12" i="544" s="1"/>
  <c r="I47" i="646"/>
  <c r="H7" i="578" s="1"/>
  <c r="H13" i="578" s="1"/>
  <c r="I29" i="544" s="1"/>
  <c r="I19" i="646"/>
  <c r="I49" i="646" s="1"/>
  <c r="J5" i="646"/>
  <c r="I42" i="646"/>
  <c r="H7" i="571" s="1"/>
  <c r="H8" i="571" s="1"/>
  <c r="H41" i="544" s="1"/>
  <c r="H37" i="544" s="1"/>
  <c r="L9" i="544"/>
  <c r="N15" i="682" s="1"/>
  <c r="N9" i="682"/>
  <c r="J25" i="646"/>
  <c r="K7" i="646"/>
  <c r="N4" i="544"/>
  <c r="M5" i="544"/>
  <c r="M8" i="544" s="1"/>
  <c r="K19" i="544"/>
  <c r="B28" i="494"/>
  <c r="E29" i="494"/>
  <c r="B41" i="544" l="1"/>
  <c r="B17" i="586"/>
  <c r="B42" i="544" s="1"/>
  <c r="K14" i="544"/>
  <c r="K11" i="544" s="1"/>
  <c r="K16" i="544" s="1"/>
  <c r="L7" i="544"/>
  <c r="K26" i="646"/>
  <c r="L8" i="646"/>
  <c r="M9" i="544"/>
  <c r="O15" i="682" s="1"/>
  <c r="O9" i="682"/>
  <c r="J24" i="646"/>
  <c r="H7" i="572" s="1"/>
  <c r="H8" i="572" s="1"/>
  <c r="I25" i="544" s="1"/>
  <c r="K6" i="646"/>
  <c r="J4" i="646"/>
  <c r="O4" i="544"/>
  <c r="N5" i="544"/>
  <c r="N8" i="544" s="1"/>
  <c r="O13" i="646"/>
  <c r="P33" i="646" s="1"/>
  <c r="N11" i="682"/>
  <c r="L13" i="544" s="1"/>
  <c r="N12" i="682"/>
  <c r="N30" i="646"/>
  <c r="O12" i="646"/>
  <c r="N18" i="682"/>
  <c r="L12" i="544" s="1"/>
  <c r="N17" i="682"/>
  <c r="L19" i="544"/>
  <c r="V34" i="646"/>
  <c r="E30" i="494"/>
  <c r="B29" i="494"/>
  <c r="B2" i="695"/>
  <c r="C1" i="695" s="1"/>
  <c r="C4" i="695"/>
  <c r="B4" i="695" s="1"/>
  <c r="B37" i="544" l="1"/>
  <c r="B46" i="544" s="1"/>
  <c r="B53" i="544" s="1"/>
  <c r="L14" i="544"/>
  <c r="L11" i="544" s="1"/>
  <c r="L16" i="544" s="1"/>
  <c r="O31" i="646"/>
  <c r="P13" i="646"/>
  <c r="Q33" i="646" s="1"/>
  <c r="J42" i="646"/>
  <c r="I7" i="571" s="1"/>
  <c r="I8" i="571" s="1"/>
  <c r="I41" i="544" s="1"/>
  <c r="I37" i="544" s="1"/>
  <c r="J19" i="646"/>
  <c r="J49" i="646" s="1"/>
  <c r="K5" i="646"/>
  <c r="J47" i="646"/>
  <c r="I7" i="578" s="1"/>
  <c r="I13" i="578" s="1"/>
  <c r="J29" i="544" s="1"/>
  <c r="M7" i="544"/>
  <c r="O32" i="646"/>
  <c r="O12" i="682"/>
  <c r="O11" i="682"/>
  <c r="M13" i="544" s="1"/>
  <c r="K25" i="646"/>
  <c r="L7" i="646"/>
  <c r="M8" i="646" s="1"/>
  <c r="O18" i="682"/>
  <c r="M12" i="544" s="1"/>
  <c r="O17" i="682"/>
  <c r="N9" i="544"/>
  <c r="P15" i="682" s="1"/>
  <c r="P9" i="682"/>
  <c r="L27" i="646"/>
  <c r="M9" i="646"/>
  <c r="P4" i="544"/>
  <c r="O5" i="544"/>
  <c r="O8" i="544" s="1"/>
  <c r="M19" i="544"/>
  <c r="B30" i="494"/>
  <c r="E31" i="494"/>
  <c r="N7" i="544" l="1"/>
  <c r="M27" i="646"/>
  <c r="N9" i="646"/>
  <c r="K24" i="646"/>
  <c r="I7" i="572" s="1"/>
  <c r="I8" i="572" s="1"/>
  <c r="J25" i="544" s="1"/>
  <c r="K4" i="646"/>
  <c r="L6" i="646"/>
  <c r="O9" i="544"/>
  <c r="Q15" i="682" s="1"/>
  <c r="Q9" i="682"/>
  <c r="Q4" i="544"/>
  <c r="P5" i="544"/>
  <c r="P8" i="544" s="1"/>
  <c r="P32" i="646"/>
  <c r="M28" i="646"/>
  <c r="N10" i="646"/>
  <c r="O11" i="646" s="1"/>
  <c r="L26" i="646"/>
  <c r="P12" i="682"/>
  <c r="P11" i="682"/>
  <c r="N13" i="544" s="1"/>
  <c r="M14" i="544"/>
  <c r="M11" i="544" s="1"/>
  <c r="M16" i="544" s="1"/>
  <c r="P17" i="682"/>
  <c r="P18" i="682"/>
  <c r="N12" i="544" s="1"/>
  <c r="N19" i="544"/>
  <c r="W15" i="646"/>
  <c r="B31" i="494"/>
  <c r="E32" i="494"/>
  <c r="N14" i="544" l="1"/>
  <c r="N11" i="544" s="1"/>
  <c r="N16" i="544" s="1"/>
  <c r="O7" i="544"/>
  <c r="O30" i="646"/>
  <c r="P12" i="646"/>
  <c r="K42" i="646"/>
  <c r="J7" i="571" s="1"/>
  <c r="J8" i="571" s="1"/>
  <c r="J41" i="544" s="1"/>
  <c r="J37" i="544" s="1"/>
  <c r="L5" i="646"/>
  <c r="L24" i="646" s="1"/>
  <c r="J7" i="572" s="1"/>
  <c r="J8" i="572" s="1"/>
  <c r="K25" i="544" s="1"/>
  <c r="K47" i="646"/>
  <c r="J7" i="578" s="1"/>
  <c r="J13" i="578" s="1"/>
  <c r="K29" i="544" s="1"/>
  <c r="K19" i="646"/>
  <c r="K49" i="646" s="1"/>
  <c r="N29" i="646"/>
  <c r="P9" i="544"/>
  <c r="R15" i="682" s="1"/>
  <c r="R9" i="682"/>
  <c r="N28" i="646"/>
  <c r="O10" i="646"/>
  <c r="P11" i="646" s="1"/>
  <c r="O29" i="646"/>
  <c r="Q11" i="682"/>
  <c r="O13" i="544" s="1"/>
  <c r="Q12" i="682"/>
  <c r="Q17" i="682"/>
  <c r="Q18" i="682"/>
  <c r="O12" i="544" s="1"/>
  <c r="L25" i="646"/>
  <c r="M7" i="646"/>
  <c r="R4" i="544"/>
  <c r="Q5" i="544"/>
  <c r="Q8" i="544" s="1"/>
  <c r="O19" i="544"/>
  <c r="E33" i="494"/>
  <c r="B33" i="494" s="1"/>
  <c r="B32" i="494"/>
  <c r="P7" i="544" l="1"/>
  <c r="O14" i="544"/>
  <c r="O11" i="544" s="1"/>
  <c r="O16" i="544" s="1"/>
  <c r="M6" i="646"/>
  <c r="L4" i="646"/>
  <c r="S4" i="544"/>
  <c r="R5" i="544"/>
  <c r="R8" i="544" s="1"/>
  <c r="R12" i="682"/>
  <c r="R11" i="682"/>
  <c r="P13" i="544" s="1"/>
  <c r="P31" i="646"/>
  <c r="Q13" i="646"/>
  <c r="R33" i="646" s="1"/>
  <c r="Q9" i="544"/>
  <c r="S15" i="682" s="1"/>
  <c r="S9" i="682"/>
  <c r="P30" i="646"/>
  <c r="Q12" i="646"/>
  <c r="M26" i="646"/>
  <c r="N8" i="646"/>
  <c r="R17" i="682"/>
  <c r="R18" i="682"/>
  <c r="P12" i="544" s="1"/>
  <c r="P19" i="544"/>
  <c r="Q7" i="544" l="1"/>
  <c r="P14" i="544"/>
  <c r="P11" i="544" s="1"/>
  <c r="P16" i="544" s="1"/>
  <c r="N27" i="646"/>
  <c r="O9" i="646"/>
  <c r="Q31" i="646"/>
  <c r="R13" i="646"/>
  <c r="S33" i="646" s="1"/>
  <c r="S11" i="682"/>
  <c r="Q13" i="544" s="1"/>
  <c r="S12" i="682"/>
  <c r="T4" i="544"/>
  <c r="S5" i="544"/>
  <c r="S8" i="544" s="1"/>
  <c r="R9" i="544"/>
  <c r="T15" i="682" s="1"/>
  <c r="T9" i="682"/>
  <c r="M5" i="646"/>
  <c r="L47" i="646"/>
  <c r="K7" i="578" s="1"/>
  <c r="K13" i="578" s="1"/>
  <c r="L29" i="544" s="1"/>
  <c r="L42" i="646"/>
  <c r="K7" i="571" s="1"/>
  <c r="K8" i="571" s="1"/>
  <c r="K41" i="544" s="1"/>
  <c r="K37" i="544" s="1"/>
  <c r="L19" i="646"/>
  <c r="L49" i="646" s="1"/>
  <c r="S17" i="682"/>
  <c r="S18" i="682"/>
  <c r="Q12" i="544" s="1"/>
  <c r="Q32" i="646"/>
  <c r="M25" i="646"/>
  <c r="N7" i="646"/>
  <c r="Q19" i="544"/>
  <c r="R7" i="544" l="1"/>
  <c r="Q14" i="544"/>
  <c r="Q11" i="544" s="1"/>
  <c r="Q16" i="544" s="1"/>
  <c r="R32" i="646"/>
  <c r="U4" i="544"/>
  <c r="T5" i="544"/>
  <c r="T8" i="544" s="1"/>
  <c r="T11" i="682"/>
  <c r="R13" i="544" s="1"/>
  <c r="T12" i="682"/>
  <c r="T17" i="682"/>
  <c r="T18" i="682"/>
  <c r="R12" i="544" s="1"/>
  <c r="O28" i="646"/>
  <c r="P10" i="646"/>
  <c r="N26" i="646"/>
  <c r="O8" i="646"/>
  <c r="M24" i="646"/>
  <c r="K7" i="572" s="1"/>
  <c r="K8" i="572" s="1"/>
  <c r="L25" i="544" s="1"/>
  <c r="M4" i="646"/>
  <c r="N6" i="646"/>
  <c r="S9" i="544"/>
  <c r="U15" i="682" s="1"/>
  <c r="U9" i="682"/>
  <c r="R19" i="544"/>
  <c r="S7" i="544" l="1"/>
  <c r="R14" i="544"/>
  <c r="R11" i="544" s="1"/>
  <c r="R16" i="544" s="1"/>
  <c r="P29" i="646"/>
  <c r="Q11" i="646"/>
  <c r="N25" i="646"/>
  <c r="O7" i="646"/>
  <c r="U11" i="682"/>
  <c r="S13" i="544" s="1"/>
  <c r="U12" i="682"/>
  <c r="U18" i="682"/>
  <c r="S12" i="544" s="1"/>
  <c r="U17" i="682"/>
  <c r="N5" i="646"/>
  <c r="M47" i="646"/>
  <c r="L7" i="578" s="1"/>
  <c r="L13" i="578" s="1"/>
  <c r="M29" i="544" s="1"/>
  <c r="M42" i="646"/>
  <c r="L7" i="571" s="1"/>
  <c r="L8" i="571" s="1"/>
  <c r="L41" i="544" s="1"/>
  <c r="L37" i="544" s="1"/>
  <c r="M19" i="646"/>
  <c r="M49" i="646" s="1"/>
  <c r="O27" i="646"/>
  <c r="P9" i="646"/>
  <c r="T9" i="544"/>
  <c r="V15" i="682" s="1"/>
  <c r="V9" i="682"/>
  <c r="V4" i="544"/>
  <c r="V5" i="544" s="1"/>
  <c r="V8" i="544" s="1"/>
  <c r="U5" i="544"/>
  <c r="U8" i="544" s="1"/>
  <c r="S19" i="544"/>
  <c r="V11" i="682" l="1"/>
  <c r="T13" i="544" s="1"/>
  <c r="V12" i="682"/>
  <c r="S14" i="544"/>
  <c r="S11" i="544" s="1"/>
  <c r="S16" i="544" s="1"/>
  <c r="O26" i="646"/>
  <c r="P8" i="646"/>
  <c r="V18" i="682"/>
  <c r="T12" i="544" s="1"/>
  <c r="V17" i="682"/>
  <c r="P28" i="646"/>
  <c r="Q10" i="646"/>
  <c r="Q30" i="646"/>
  <c r="R12" i="646"/>
  <c r="R31" i="646" s="1"/>
  <c r="U9" i="544"/>
  <c r="W15" i="682" s="1"/>
  <c r="W9" i="682"/>
  <c r="V9" i="544"/>
  <c r="X15" i="682" s="1"/>
  <c r="X9" i="682"/>
  <c r="T7" i="544"/>
  <c r="N24" i="646"/>
  <c r="L7" i="572" s="1"/>
  <c r="L8" i="572" s="1"/>
  <c r="M25" i="544" s="1"/>
  <c r="O6" i="646"/>
  <c r="P7" i="646" s="1"/>
  <c r="N4" i="646"/>
  <c r="O25" i="646"/>
  <c r="T19" i="544"/>
  <c r="U7" i="544" l="1"/>
  <c r="P27" i="646"/>
  <c r="Q9" i="646"/>
  <c r="R10" i="646" s="1"/>
  <c r="N47" i="646"/>
  <c r="M7" i="578" s="1"/>
  <c r="M13" i="578" s="1"/>
  <c r="N29" i="544" s="1"/>
  <c r="O5" i="646"/>
  <c r="N19" i="646"/>
  <c r="N49" i="646" s="1"/>
  <c r="N42" i="646"/>
  <c r="M7" i="571" s="1"/>
  <c r="M8" i="571" s="1"/>
  <c r="M41" i="544" s="1"/>
  <c r="M37" i="544" s="1"/>
  <c r="W11" i="682"/>
  <c r="U13" i="544" s="1"/>
  <c r="W12" i="682"/>
  <c r="W17" i="682"/>
  <c r="W18" i="682"/>
  <c r="U12" i="544" s="1"/>
  <c r="S13" i="646"/>
  <c r="S32" i="646" s="1"/>
  <c r="T14" i="544"/>
  <c r="T11" i="544" s="1"/>
  <c r="T16" i="544" s="1"/>
  <c r="X17" i="682"/>
  <c r="X18" i="682"/>
  <c r="V12" i="544" s="1"/>
  <c r="P26" i="646"/>
  <c r="Q8" i="646"/>
  <c r="R9" i="646" s="1"/>
  <c r="V7" i="544"/>
  <c r="X12" i="682"/>
  <c r="X11" i="682"/>
  <c r="V13" i="544" s="1"/>
  <c r="Q29" i="646"/>
  <c r="R11" i="646"/>
  <c r="S12" i="646" s="1"/>
  <c r="U19" i="544"/>
  <c r="Q28" i="646" l="1"/>
  <c r="Q27" i="646"/>
  <c r="S31" i="646"/>
  <c r="T13" i="646"/>
  <c r="U33" i="646" s="1"/>
  <c r="T32" i="646"/>
  <c r="V14" i="544"/>
  <c r="V11" i="544" s="1"/>
  <c r="V16" i="544" s="1"/>
  <c r="O24" i="646"/>
  <c r="M7" i="572" s="1"/>
  <c r="M8" i="572" s="1"/>
  <c r="N25" i="544" s="1"/>
  <c r="P6" i="646"/>
  <c r="Q7" i="646" s="1"/>
  <c r="O4" i="646"/>
  <c r="U34" i="646"/>
  <c r="T33" i="646"/>
  <c r="R28" i="646"/>
  <c r="S10" i="646"/>
  <c r="R29" i="646"/>
  <c r="S11" i="646"/>
  <c r="R30" i="646"/>
  <c r="U14" i="544"/>
  <c r="U11" i="544" s="1"/>
  <c r="U16" i="544" s="1"/>
  <c r="V19" i="544"/>
  <c r="P25" i="646" l="1"/>
  <c r="S30" i="646"/>
  <c r="T12" i="646"/>
  <c r="Q26" i="646"/>
  <c r="R8" i="646"/>
  <c r="S29" i="646"/>
  <c r="T11" i="646"/>
  <c r="U12" i="646" s="1"/>
  <c r="P5" i="646"/>
  <c r="P24" i="646" s="1"/>
  <c r="N7" i="572" s="1"/>
  <c r="N8" i="572" s="1"/>
  <c r="O25" i="544" s="1"/>
  <c r="O19" i="646"/>
  <c r="O49" i="646" s="1"/>
  <c r="O42" i="646"/>
  <c r="N7" i="571" s="1"/>
  <c r="N8" i="571" s="1"/>
  <c r="N41" i="544" s="1"/>
  <c r="N37" i="544" s="1"/>
  <c r="O47" i="646"/>
  <c r="N7" i="578" s="1"/>
  <c r="N13" i="578" s="1"/>
  <c r="O29" i="544" s="1"/>
  <c r="T30" i="646" l="1"/>
  <c r="R27" i="646"/>
  <c r="S9" i="646"/>
  <c r="T31" i="646"/>
  <c r="U13" i="646"/>
  <c r="V33" i="646" s="1"/>
  <c r="U31" i="646"/>
  <c r="V13" i="646"/>
  <c r="Q6" i="646"/>
  <c r="R7" i="646" s="1"/>
  <c r="P4" i="646"/>
  <c r="U32" i="646" l="1"/>
  <c r="V32" i="646"/>
  <c r="W14" i="646"/>
  <c r="W33" i="646" s="1"/>
  <c r="R26" i="646"/>
  <c r="S8" i="646"/>
  <c r="Q25" i="646"/>
  <c r="S28" i="646"/>
  <c r="T10" i="646"/>
  <c r="P19" i="646"/>
  <c r="P49" i="646" s="1"/>
  <c r="P47" i="646"/>
  <c r="O7" i="578" s="1"/>
  <c r="O13" i="578" s="1"/>
  <c r="P29" i="544" s="1"/>
  <c r="Q5" i="646"/>
  <c r="P42" i="646"/>
  <c r="O7" i="571" s="1"/>
  <c r="O8" i="571" s="1"/>
  <c r="O41" i="544" s="1"/>
  <c r="O37" i="544" s="1"/>
  <c r="T29" i="646" l="1"/>
  <c r="U11" i="646"/>
  <c r="S27" i="646"/>
  <c r="T9" i="646"/>
  <c r="U10" i="646" s="1"/>
  <c r="Q24" i="646"/>
  <c r="O7" i="572" s="1"/>
  <c r="O8" i="572" s="1"/>
  <c r="P25" i="544" s="1"/>
  <c r="Q4" i="646"/>
  <c r="R6" i="646"/>
  <c r="S7" i="646" s="1"/>
  <c r="T28" i="646" l="1"/>
  <c r="Q47" i="646"/>
  <c r="P7" i="578" s="1"/>
  <c r="P13" i="578" s="1"/>
  <c r="Q29" i="544" s="1"/>
  <c r="Q19" i="646"/>
  <c r="Q49" i="646" s="1"/>
  <c r="R5" i="646"/>
  <c r="Q42" i="646"/>
  <c r="P7" i="571" s="1"/>
  <c r="P8" i="571" s="1"/>
  <c r="P41" i="544" s="1"/>
  <c r="P37" i="544" s="1"/>
  <c r="R24" i="646"/>
  <c r="S26" i="646"/>
  <c r="T8" i="646"/>
  <c r="U29" i="646"/>
  <c r="V11" i="646"/>
  <c r="U30" i="646"/>
  <c r="V12" i="646"/>
  <c r="R25" i="646"/>
  <c r="P7" i="572" l="1"/>
  <c r="P8" i="572" s="1"/>
  <c r="Q25" i="544" s="1"/>
  <c r="T27" i="646"/>
  <c r="U9" i="646"/>
  <c r="R4" i="646"/>
  <c r="S6" i="646"/>
  <c r="T7" i="646" s="1"/>
  <c r="V31" i="646"/>
  <c r="W13" i="646"/>
  <c r="W32" i="646" s="1"/>
  <c r="V30" i="646"/>
  <c r="W12" i="646"/>
  <c r="W31" i="646" s="1"/>
  <c r="S25" i="646" l="1"/>
  <c r="U28" i="646"/>
  <c r="V10" i="646"/>
  <c r="T26" i="646"/>
  <c r="U8" i="646"/>
  <c r="S5" i="646"/>
  <c r="R19" i="646"/>
  <c r="R49" i="646" s="1"/>
  <c r="R47" i="646"/>
  <c r="Q7" i="578" s="1"/>
  <c r="Q13" i="578" s="1"/>
  <c r="R29" i="544" s="1"/>
  <c r="R42" i="646"/>
  <c r="Q7" i="571" s="1"/>
  <c r="Q8" i="571" s="1"/>
  <c r="Q41" i="544" s="1"/>
  <c r="Q37" i="544" s="1"/>
  <c r="U27" i="646" l="1"/>
  <c r="V9" i="646"/>
  <c r="S4" i="646"/>
  <c r="T6" i="646"/>
  <c r="V29" i="646"/>
  <c r="W11" i="646"/>
  <c r="W30" i="646" s="1"/>
  <c r="S24" i="646"/>
  <c r="Q7" i="572" s="1"/>
  <c r="Q8" i="572" s="1"/>
  <c r="R25" i="544" s="1"/>
  <c r="T25" i="646" l="1"/>
  <c r="U7" i="646"/>
  <c r="S42" i="646"/>
  <c r="R7" i="571" s="1"/>
  <c r="R8" i="571" s="1"/>
  <c r="R41" i="544" s="1"/>
  <c r="R37" i="544" s="1"/>
  <c r="T5" i="646"/>
  <c r="S19" i="646"/>
  <c r="S49" i="646" s="1"/>
  <c r="S47" i="646"/>
  <c r="R7" i="578" s="1"/>
  <c r="R13" i="578" s="1"/>
  <c r="S29" i="544" s="1"/>
  <c r="V28" i="646"/>
  <c r="W10" i="646"/>
  <c r="W29" i="646" s="1"/>
  <c r="T24" i="646" l="1"/>
  <c r="R7" i="572" s="1"/>
  <c r="R8" i="572" s="1"/>
  <c r="S25" i="544" s="1"/>
  <c r="U6" i="646"/>
  <c r="V7" i="646" s="1"/>
  <c r="T4" i="646"/>
  <c r="U25" i="646"/>
  <c r="U26" i="646"/>
  <c r="V8" i="646"/>
  <c r="V27" i="646" l="1"/>
  <c r="W9" i="646"/>
  <c r="W28" i="646" s="1"/>
  <c r="T47" i="646"/>
  <c r="S7" i="578" s="1"/>
  <c r="S13" i="578" s="1"/>
  <c r="T29" i="544" s="1"/>
  <c r="T19" i="646"/>
  <c r="T49" i="646" s="1"/>
  <c r="U5" i="646"/>
  <c r="T42" i="646"/>
  <c r="S7" i="571" s="1"/>
  <c r="S8" i="571" s="1"/>
  <c r="S41" i="544" s="1"/>
  <c r="S37" i="544" s="1"/>
  <c r="V26" i="646"/>
  <c r="W8" i="646"/>
  <c r="W27" i="646" s="1"/>
  <c r="U24" i="646" l="1"/>
  <c r="S7" i="572" s="1"/>
  <c r="S8" i="572" s="1"/>
  <c r="T25" i="544" s="1"/>
  <c r="U4" i="646"/>
  <c r="V6" i="646"/>
  <c r="W7" i="646" s="1"/>
  <c r="W26" i="646" s="1"/>
  <c r="V25" i="646" l="1"/>
  <c r="V5" i="646"/>
  <c r="U19" i="646"/>
  <c r="U49" i="646" s="1"/>
  <c r="U42" i="646"/>
  <c r="T7" i="571" s="1"/>
  <c r="T8" i="571" s="1"/>
  <c r="T41" i="544" s="1"/>
  <c r="T37" i="544" s="1"/>
  <c r="U47" i="646"/>
  <c r="T7" i="578" s="1"/>
  <c r="T13" i="578" s="1"/>
  <c r="U29" i="544" s="1"/>
  <c r="V24" i="646"/>
  <c r="T7" i="572" s="1"/>
  <c r="T8" i="572" s="1"/>
  <c r="U25" i="544" s="1"/>
  <c r="V4" i="646" l="1"/>
  <c r="W6" i="646"/>
  <c r="W25" i="646" s="1"/>
  <c r="V42" i="646" l="1"/>
  <c r="U7" i="571" s="1"/>
  <c r="U8" i="571" s="1"/>
  <c r="U41" i="544" s="1"/>
  <c r="U37" i="544" s="1"/>
  <c r="B57" i="544" s="1"/>
  <c r="B9" i="316" s="1"/>
  <c r="B8" i="316" s="1"/>
  <c r="C8" i="316" s="1"/>
  <c r="W5" i="646"/>
  <c r="V47" i="646"/>
  <c r="U7" i="578" s="1"/>
  <c r="U13" i="578" s="1"/>
  <c r="V29" i="544" s="1"/>
  <c r="V19" i="646"/>
  <c r="V49" i="646" s="1"/>
  <c r="W24" i="646" l="1"/>
  <c r="U7" i="572" s="1"/>
  <c r="U8" i="572" s="1"/>
  <c r="V25" i="544" s="1"/>
  <c r="W19" i="646"/>
  <c r="C20" i="544"/>
  <c r="G9" i="693"/>
  <c r="G11" i="693" l="1"/>
  <c r="H9" i="693" s="1"/>
  <c r="D20" i="544"/>
  <c r="C18" i="544"/>
  <c r="C23" i="544" s="1"/>
  <c r="C27" i="544" s="1"/>
  <c r="C31" i="544" l="1"/>
  <c r="E22" i="682" s="1"/>
  <c r="C46" i="544"/>
  <c r="E20" i="544"/>
  <c r="D18" i="544"/>
  <c r="D23" i="544" s="1"/>
  <c r="D27" i="544" s="1"/>
  <c r="H10" i="693"/>
  <c r="H7" i="693"/>
  <c r="H8" i="693"/>
  <c r="D46" i="544" l="1"/>
  <c r="D31" i="544"/>
  <c r="F22" i="682" s="1"/>
  <c r="F20" i="544"/>
  <c r="E18" i="544"/>
  <c r="E23" i="544" s="1"/>
  <c r="E27" i="544" s="1"/>
  <c r="C53" i="544"/>
  <c r="E25" i="682"/>
  <c r="E28" i="682" s="1"/>
  <c r="E26" i="682"/>
  <c r="E32" i="682" s="1"/>
  <c r="E29" i="682" l="1"/>
  <c r="E30" i="682"/>
  <c r="C54" i="544"/>
  <c r="D53" i="544"/>
  <c r="G20" i="544"/>
  <c r="F18" i="544"/>
  <c r="F23" i="544" s="1"/>
  <c r="F27" i="544" s="1"/>
  <c r="E31" i="544"/>
  <c r="G22" i="682" s="1"/>
  <c r="E46" i="544"/>
  <c r="F26" i="682"/>
  <c r="F32" i="682" s="1"/>
  <c r="F25" i="682"/>
  <c r="F28" i="682" s="1"/>
  <c r="E34" i="682"/>
  <c r="E33" i="682"/>
  <c r="G25" i="682" l="1"/>
  <c r="G28" i="682" s="1"/>
  <c r="G26" i="682"/>
  <c r="G32" i="682" s="1"/>
  <c r="C33" i="544"/>
  <c r="C35" i="544" s="1"/>
  <c r="F46" i="544"/>
  <c r="F31" i="544"/>
  <c r="H22" i="682" s="1"/>
  <c r="H20" i="544"/>
  <c r="G18" i="544"/>
  <c r="G23" i="544" s="1"/>
  <c r="G27" i="544" s="1"/>
  <c r="D54" i="544"/>
  <c r="E53" i="544"/>
  <c r="F29" i="682"/>
  <c r="F30" i="682"/>
  <c r="F34" i="682"/>
  <c r="F33" i="682"/>
  <c r="D33" i="544" l="1"/>
  <c r="D35" i="544" s="1"/>
  <c r="H25" i="682"/>
  <c r="H28" i="682" s="1"/>
  <c r="H26" i="682"/>
  <c r="H32" i="682" s="1"/>
  <c r="G33" i="682"/>
  <c r="G34" i="682"/>
  <c r="I20" i="544"/>
  <c r="H18" i="544"/>
  <c r="H23" i="544" s="1"/>
  <c r="H27" i="544" s="1"/>
  <c r="E54" i="544"/>
  <c r="F53" i="544"/>
  <c r="G46" i="544"/>
  <c r="G31" i="544"/>
  <c r="I22" i="682" s="1"/>
  <c r="G30" i="682"/>
  <c r="G29" i="682"/>
  <c r="E33" i="544" l="1"/>
  <c r="E35" i="544" s="1"/>
  <c r="H46" i="544"/>
  <c r="H31" i="544"/>
  <c r="J22" i="682" s="1"/>
  <c r="J20" i="544"/>
  <c r="I18" i="544"/>
  <c r="I23" i="544" s="1"/>
  <c r="I27" i="544" s="1"/>
  <c r="I25" i="682"/>
  <c r="I28" i="682" s="1"/>
  <c r="I26" i="682"/>
  <c r="I32" i="682" s="1"/>
  <c r="H33" i="682"/>
  <c r="H34" i="682"/>
  <c r="H29" i="682"/>
  <c r="H30" i="682"/>
  <c r="F54" i="544"/>
  <c r="G53" i="544"/>
  <c r="F33" i="544" l="1"/>
  <c r="F35" i="544" s="1"/>
  <c r="I29" i="682"/>
  <c r="I30" i="682"/>
  <c r="K20" i="544"/>
  <c r="J18" i="544"/>
  <c r="J23" i="544" s="1"/>
  <c r="J27" i="544" s="1"/>
  <c r="I33" i="682"/>
  <c r="I34" i="682"/>
  <c r="G54" i="544"/>
  <c r="H53" i="544"/>
  <c r="I31" i="544"/>
  <c r="K22" i="682" s="1"/>
  <c r="I46" i="544"/>
  <c r="J26" i="682"/>
  <c r="J32" i="682" s="1"/>
  <c r="J25" i="682"/>
  <c r="J28" i="682" s="1"/>
  <c r="J34" i="682" l="1"/>
  <c r="J33" i="682"/>
  <c r="J29" i="682"/>
  <c r="J30" i="682"/>
  <c r="K25" i="682"/>
  <c r="K28" i="682" s="1"/>
  <c r="K26" i="682"/>
  <c r="K32" i="682" s="1"/>
  <c r="H54" i="544"/>
  <c r="I53" i="544"/>
  <c r="J46" i="544"/>
  <c r="J31" i="544"/>
  <c r="L22" i="682" s="1"/>
  <c r="L20" i="544"/>
  <c r="K18" i="544"/>
  <c r="K23" i="544" s="1"/>
  <c r="K27" i="544" s="1"/>
  <c r="G33" i="544"/>
  <c r="G35" i="544" s="1"/>
  <c r="H33" i="544" l="1"/>
  <c r="H35" i="544" s="1"/>
  <c r="I54" i="544"/>
  <c r="J53" i="544"/>
  <c r="K29" i="682"/>
  <c r="K30" i="682"/>
  <c r="M20" i="544"/>
  <c r="L18" i="544"/>
  <c r="L23" i="544" s="1"/>
  <c r="L27" i="544" s="1"/>
  <c r="L26" i="682"/>
  <c r="L32" i="682" s="1"/>
  <c r="L25" i="682"/>
  <c r="L28" i="682" s="1"/>
  <c r="K46" i="544"/>
  <c r="K31" i="544"/>
  <c r="M22" i="682" s="1"/>
  <c r="K33" i="682"/>
  <c r="K34" i="682"/>
  <c r="I33" i="544" l="1"/>
  <c r="I35" i="544" s="1"/>
  <c r="M26" i="682"/>
  <c r="M32" i="682" s="1"/>
  <c r="M25" i="682"/>
  <c r="M28" i="682" s="1"/>
  <c r="L30" i="682"/>
  <c r="L29" i="682"/>
  <c r="L31" i="544"/>
  <c r="N22" i="682" s="1"/>
  <c r="L46" i="544"/>
  <c r="J54" i="544"/>
  <c r="K53" i="544"/>
  <c r="L34" i="682"/>
  <c r="L33" i="682"/>
  <c r="N20" i="544"/>
  <c r="M18" i="544"/>
  <c r="M23" i="544" s="1"/>
  <c r="M27" i="544" s="1"/>
  <c r="J33" i="544" l="1"/>
  <c r="J35" i="544" s="1"/>
  <c r="M31" i="544"/>
  <c r="O22" i="682" s="1"/>
  <c r="M46" i="544"/>
  <c r="O20" i="544"/>
  <c r="N18" i="544"/>
  <c r="N23" i="544" s="1"/>
  <c r="N27" i="544" s="1"/>
  <c r="M29" i="682"/>
  <c r="M30" i="682"/>
  <c r="K54" i="544"/>
  <c r="L53" i="544"/>
  <c r="N26" i="682"/>
  <c r="N32" i="682" s="1"/>
  <c r="N25" i="682"/>
  <c r="N28" i="682" s="1"/>
  <c r="M33" i="682"/>
  <c r="M34" i="682"/>
  <c r="K33" i="544" l="1"/>
  <c r="K35" i="544" s="1"/>
  <c r="L54" i="544"/>
  <c r="O25" i="682"/>
  <c r="O28" i="682" s="1"/>
  <c r="O26" i="682"/>
  <c r="O32" i="682" s="1"/>
  <c r="N29" i="682"/>
  <c r="N30" i="682"/>
  <c r="M53" i="544"/>
  <c r="P20" i="544"/>
  <c r="O18" i="544"/>
  <c r="O23" i="544" s="1"/>
  <c r="O27" i="544" s="1"/>
  <c r="N34" i="682"/>
  <c r="N33" i="682"/>
  <c r="N31" i="544"/>
  <c r="P22" i="682" s="1"/>
  <c r="N46" i="544"/>
  <c r="M54" i="544" l="1"/>
  <c r="N53" i="544"/>
  <c r="O31" i="544"/>
  <c r="Q22" i="682" s="1"/>
  <c r="O46" i="544"/>
  <c r="Q20" i="544"/>
  <c r="P18" i="544"/>
  <c r="P23" i="544" s="1"/>
  <c r="P27" i="544" s="1"/>
  <c r="P25" i="682"/>
  <c r="P28" i="682" s="1"/>
  <c r="P26" i="682"/>
  <c r="P32" i="682" s="1"/>
  <c r="L33" i="544"/>
  <c r="L35" i="544" s="1"/>
  <c r="O33" i="682"/>
  <c r="O34" i="682"/>
  <c r="O30" i="682"/>
  <c r="O29" i="682"/>
  <c r="M33" i="544" l="1"/>
  <c r="M35" i="544" s="1"/>
  <c r="P34" i="682"/>
  <c r="P33" i="682"/>
  <c r="P46" i="544"/>
  <c r="P31" i="544"/>
  <c r="R22" i="682" s="1"/>
  <c r="Q26" i="682"/>
  <c r="Q32" i="682" s="1"/>
  <c r="Q25" i="682"/>
  <c r="Q28" i="682" s="1"/>
  <c r="P30" i="682"/>
  <c r="P29" i="682"/>
  <c r="O53" i="544"/>
  <c r="R20" i="544"/>
  <c r="Q18" i="544"/>
  <c r="Q23" i="544" s="1"/>
  <c r="Q27" i="544" s="1"/>
  <c r="N54" i="544"/>
  <c r="O54" i="544" s="1"/>
  <c r="N33" i="544" l="1"/>
  <c r="N35" i="544" s="1"/>
  <c r="Q29" i="682"/>
  <c r="Q30" i="682"/>
  <c r="Q34" i="682"/>
  <c r="Q33" i="682"/>
  <c r="R25" i="682"/>
  <c r="R28" i="682" s="1"/>
  <c r="R26" i="682"/>
  <c r="R32" i="682" s="1"/>
  <c r="S20" i="544"/>
  <c r="R18" i="544"/>
  <c r="R23" i="544" s="1"/>
  <c r="R27" i="544" s="1"/>
  <c r="Q46" i="544"/>
  <c r="Q31" i="544"/>
  <c r="S22" i="682" s="1"/>
  <c r="P53" i="544"/>
  <c r="Q53" i="544" l="1"/>
  <c r="R33" i="682"/>
  <c r="R34" i="682"/>
  <c r="R31" i="544"/>
  <c r="T22" i="682" s="1"/>
  <c r="R46" i="544"/>
  <c r="T20" i="544"/>
  <c r="S18" i="544"/>
  <c r="S23" i="544" s="1"/>
  <c r="S27" i="544" s="1"/>
  <c r="R29" i="682"/>
  <c r="R30" i="682"/>
  <c r="O33" i="544"/>
  <c r="O35" i="544" s="1"/>
  <c r="S26" i="682"/>
  <c r="S32" i="682" s="1"/>
  <c r="S25" i="682"/>
  <c r="S28" i="682" s="1"/>
  <c r="P54" i="544"/>
  <c r="Q54" i="544" s="1"/>
  <c r="R53" i="544" l="1"/>
  <c r="P33" i="544"/>
  <c r="P35" i="544" s="1"/>
  <c r="S29" i="682"/>
  <c r="S30" i="682"/>
  <c r="R54" i="544"/>
  <c r="S31" i="544"/>
  <c r="U22" i="682" s="1"/>
  <c r="S46" i="544"/>
  <c r="U20" i="544"/>
  <c r="T18" i="544"/>
  <c r="T23" i="544" s="1"/>
  <c r="T27" i="544" s="1"/>
  <c r="S34" i="682"/>
  <c r="S33" i="682"/>
  <c r="T25" i="682"/>
  <c r="T28" i="682" s="1"/>
  <c r="T26" i="682"/>
  <c r="T32" i="682" s="1"/>
  <c r="S53" i="544" l="1"/>
  <c r="Q33" i="544"/>
  <c r="Q35" i="544" s="1"/>
  <c r="T46" i="544"/>
  <c r="T31" i="544"/>
  <c r="V22" i="682" s="1"/>
  <c r="T33" i="682"/>
  <c r="T34" i="682"/>
  <c r="T29" i="682"/>
  <c r="T30" i="682"/>
  <c r="V20" i="544"/>
  <c r="V18" i="544" s="1"/>
  <c r="V23" i="544" s="1"/>
  <c r="V27" i="544" s="1"/>
  <c r="U18" i="544"/>
  <c r="U23" i="544" s="1"/>
  <c r="U27" i="544" s="1"/>
  <c r="U25" i="682"/>
  <c r="U28" i="682" s="1"/>
  <c r="U26" i="682"/>
  <c r="U32" i="682" s="1"/>
  <c r="S54" i="544"/>
  <c r="T53" i="544" l="1"/>
  <c r="R33" i="544"/>
  <c r="R35" i="544" s="1"/>
  <c r="U34" i="682"/>
  <c r="U33" i="682"/>
  <c r="V31" i="544"/>
  <c r="X22" i="682" s="1"/>
  <c r="V46" i="544"/>
  <c r="T54" i="544"/>
  <c r="V25" i="682"/>
  <c r="V28" i="682" s="1"/>
  <c r="V26" i="682"/>
  <c r="V32" i="682" s="1"/>
  <c r="U29" i="682"/>
  <c r="U30" i="682"/>
  <c r="U46" i="544"/>
  <c r="U31" i="544"/>
  <c r="W22" i="682" s="1"/>
  <c r="U53" i="544" l="1"/>
  <c r="V53" i="544" s="1"/>
  <c r="S33" i="544"/>
  <c r="S35" i="544" s="1"/>
  <c r="V34" i="682"/>
  <c r="V33" i="682"/>
  <c r="X26" i="682"/>
  <c r="X32" i="682" s="1"/>
  <c r="X25" i="682"/>
  <c r="X28" i="682" s="1"/>
  <c r="V29" i="682"/>
  <c r="V30" i="682"/>
  <c r="U54" i="544"/>
  <c r="V54" i="544" s="1"/>
  <c r="B48" i="544"/>
  <c r="E14" i="695" s="1"/>
  <c r="B51" i="544"/>
  <c r="E17" i="695" s="1"/>
  <c r="W26" i="682"/>
  <c r="W32" i="682" s="1"/>
  <c r="W25" i="682"/>
  <c r="W28" i="682" s="1"/>
  <c r="T33" i="544" l="1"/>
  <c r="T35" i="544" s="1"/>
  <c r="W54" i="544"/>
  <c r="B49" i="544"/>
  <c r="E15" i="695" s="1"/>
  <c r="W30" i="682"/>
  <c r="W29" i="682"/>
  <c r="X29" i="682" s="1"/>
  <c r="W34" i="682"/>
  <c r="W33" i="682"/>
  <c r="X33" i="682" s="1"/>
  <c r="U33" i="544" l="1"/>
  <c r="U35" i="544" s="1"/>
  <c r="X30" i="682"/>
  <c r="X34" i="682"/>
  <c r="V33" i="544" l="1"/>
  <c r="V35" i="544" s="1"/>
</calcChain>
</file>

<file path=xl/sharedStrings.xml><?xml version="1.0" encoding="utf-8"?>
<sst xmlns="http://schemas.openxmlformats.org/spreadsheetml/2006/main" count="1155" uniqueCount="342">
  <si>
    <t>Custos variáveis por tipo de veículo</t>
  </si>
  <si>
    <t>Ano 1</t>
  </si>
  <si>
    <t>Ano 2</t>
  </si>
  <si>
    <t>Ano 3</t>
  </si>
  <si>
    <t>Ano 4</t>
  </si>
  <si>
    <t>Ano 5</t>
  </si>
  <si>
    <t>Preço Pneu</t>
  </si>
  <si>
    <t>Preço Recapagem</t>
  </si>
  <si>
    <t>Nº de Rec.</t>
  </si>
  <si>
    <t>Motorista</t>
  </si>
  <si>
    <t>Receita Tarifária</t>
  </si>
  <si>
    <t>ISS</t>
  </si>
  <si>
    <t>TOTAL</t>
  </si>
  <si>
    <t>Total</t>
  </si>
  <si>
    <t>Ano 6</t>
  </si>
  <si>
    <t>Ano 7</t>
  </si>
  <si>
    <t>Ano 8</t>
  </si>
  <si>
    <t>Ano 9</t>
  </si>
  <si>
    <t>Ano 10</t>
  </si>
  <si>
    <t>Vida Útil (Anos)</t>
  </si>
  <si>
    <t>Valor Residual</t>
  </si>
  <si>
    <t>Idade</t>
  </si>
  <si>
    <t>Venda de veículos usados</t>
  </si>
  <si>
    <t>TIR</t>
  </si>
  <si>
    <t>Lubrificantes (R$/Km)</t>
  </si>
  <si>
    <t>Rodagem (R$/Km)</t>
  </si>
  <si>
    <t>Custo Fixo por tipo de veículo</t>
  </si>
  <si>
    <t>Preços de veículos novos e usados</t>
  </si>
  <si>
    <t>Inicial</t>
  </si>
  <si>
    <t>Custos Operacionais Gerais</t>
  </si>
  <si>
    <t>Almoxarifado inicial</t>
  </si>
  <si>
    <t>Valor</t>
  </si>
  <si>
    <t>Referência</t>
  </si>
  <si>
    <t>Pessoal de Controle Operacional</t>
  </si>
  <si>
    <t>Garantia de execução contratual</t>
  </si>
  <si>
    <t>Custo médio anual</t>
  </si>
  <si>
    <t>Custo total do conjunto</t>
  </si>
  <si>
    <t>Vida útil do conjunto</t>
  </si>
  <si>
    <t>CSLL</t>
  </si>
  <si>
    <t>Preço novo com rodagem</t>
  </si>
  <si>
    <t>Sistemas</t>
  </si>
  <si>
    <t>Abertura das Despesas com Depreciação</t>
  </si>
  <si>
    <t>Compensação - LALUR</t>
  </si>
  <si>
    <t>IR</t>
  </si>
  <si>
    <t>Acumulado CS</t>
  </si>
  <si>
    <t>Acumulado IR</t>
  </si>
  <si>
    <t>CONTRIBUIÇÃO SOCIAL</t>
  </si>
  <si>
    <t>CONTRIBUIÇÃO SOCIAL - FLUXO DE CAIXA</t>
  </si>
  <si>
    <t>IMPOSTO DE RENDA</t>
  </si>
  <si>
    <t>IMPOSTO DE RENDA - FLUXO DE CAIXA</t>
  </si>
  <si>
    <t>Ano 0</t>
  </si>
  <si>
    <t>FINAL</t>
  </si>
  <si>
    <t>INSS</t>
  </si>
  <si>
    <t>Valor estimado do contrato (investimento)</t>
  </si>
  <si>
    <t>Arla (R$/km)</t>
  </si>
  <si>
    <t>Custo Unitário Variável (R$/Km)</t>
  </si>
  <si>
    <t>Ano 11</t>
  </si>
  <si>
    <t>Ano 12</t>
  </si>
  <si>
    <t>Ano 13</t>
  </si>
  <si>
    <t>Ano 14</t>
  </si>
  <si>
    <t>Ano 15</t>
  </si>
  <si>
    <t>Preço sem rodagem</t>
  </si>
  <si>
    <t>Quantidade de Pneus</t>
  </si>
  <si>
    <t>Benefícios (R$/mês)</t>
  </si>
  <si>
    <t>Combustível - Diesel (R$/Km)</t>
  </si>
  <si>
    <t>m²/veículo</t>
  </si>
  <si>
    <t>Investimento</t>
  </si>
  <si>
    <t>Venda</t>
  </si>
  <si>
    <t>Valor final</t>
  </si>
  <si>
    <t>Edificações</t>
  </si>
  <si>
    <t>Instalações</t>
  </si>
  <si>
    <t>Tx. Depreciação</t>
  </si>
  <si>
    <t>Equipamentos e instalações da garagem</t>
  </si>
  <si>
    <t>Vida útil (anos)</t>
  </si>
  <si>
    <t>Somatória</t>
  </si>
  <si>
    <t>Soma dos anos</t>
  </si>
  <si>
    <t>Coeficiente</t>
  </si>
  <si>
    <t>Acumulado</t>
  </si>
  <si>
    <t>Veículo administrativos</t>
  </si>
  <si>
    <t>Convencional</t>
  </si>
  <si>
    <t>Monitoramento da frota</t>
  </si>
  <si>
    <t>Investimento inicial</t>
  </si>
  <si>
    <t>ANO 0</t>
  </si>
  <si>
    <t>ANO 1</t>
  </si>
  <si>
    <t>ANO 2</t>
  </si>
  <si>
    <t>ANO 3</t>
  </si>
  <si>
    <t>ANO 4</t>
  </si>
  <si>
    <t>ANO 5</t>
  </si>
  <si>
    <t>ANO 6</t>
  </si>
  <si>
    <t>ANO 7</t>
  </si>
  <si>
    <t>ANO 8</t>
  </si>
  <si>
    <t>ANO 9</t>
  </si>
  <si>
    <t>ANO 10</t>
  </si>
  <si>
    <t>ANO 11</t>
  </si>
  <si>
    <t>ANO 12</t>
  </si>
  <si>
    <t>ANO 13</t>
  </si>
  <si>
    <t>ANO 14</t>
  </si>
  <si>
    <t>ANO 15</t>
  </si>
  <si>
    <t>TRIBUTOS</t>
  </si>
  <si>
    <t>Valor da Base de Apuração do Imposto de Renda - Projeto</t>
  </si>
  <si>
    <t>Investimentos em ativos reversíveis</t>
  </si>
  <si>
    <t>Investimentos em ativos não reversíveis</t>
  </si>
  <si>
    <t>ENTRADA DE CAIXA</t>
  </si>
  <si>
    <t>DEDUÇÕES DAS RECEITAS</t>
  </si>
  <si>
    <t>ENTRADA DE CAIXA LÍQUIDA</t>
  </si>
  <si>
    <t>RESULTADO OPERACIONAL</t>
  </si>
  <si>
    <t>Término</t>
  </si>
  <si>
    <t>Veículos em idade de depreciação (4 anos)</t>
  </si>
  <si>
    <t>Veículos em idade de depreciação (5 anos)</t>
  </si>
  <si>
    <t>Frota operacional</t>
  </si>
  <si>
    <t>Frota total</t>
  </si>
  <si>
    <t>PMM</t>
  </si>
  <si>
    <t>FU - controle operacional</t>
  </si>
  <si>
    <t>Total de veículos</t>
  </si>
  <si>
    <t>Valor anual</t>
  </si>
  <si>
    <t>Implantação de abrigos</t>
  </si>
  <si>
    <t>Estruturais</t>
  </si>
  <si>
    <t>km (dia útil)</t>
  </si>
  <si>
    <t>km ociosa (dia útil)</t>
  </si>
  <si>
    <t>km (sábado)</t>
  </si>
  <si>
    <t>km ociosa (sábado)</t>
  </si>
  <si>
    <t>km (domingo)</t>
  </si>
  <si>
    <t>km ociosa (domingo)</t>
  </si>
  <si>
    <t>usado o mesmo % do DU</t>
  </si>
  <si>
    <t>FU - motoristas efetivo</t>
  </si>
  <si>
    <t>FU - motoristas equivalente</t>
  </si>
  <si>
    <t>FU - motorista equivalente</t>
  </si>
  <si>
    <t>FU - bilheteiro equivalente</t>
  </si>
  <si>
    <t>Veículos operacionais</t>
  </si>
  <si>
    <t>Monitoramento da Frota (equipamento embarcado) + Wi-fi</t>
  </si>
  <si>
    <t>INVESTIMENTOS</t>
  </si>
  <si>
    <t>FLUXO DE CAIXA DO EXERCÍCIO</t>
  </si>
  <si>
    <t>Unitário</t>
  </si>
  <si>
    <t>Operação sistemas bicicleta</t>
  </si>
  <si>
    <t>Custo unitário</t>
  </si>
  <si>
    <t>Área operacional (Padrão Baixo para pavimentos R1)</t>
  </si>
  <si>
    <t>Custo unitário com correção</t>
  </si>
  <si>
    <t>METODOLOGIA ANTP</t>
  </si>
  <si>
    <t>CUB - Custo Unitário Básico de Construção Civil (sinduscon) - https://www.sindusconsp.com.br/cub/?f_cub=1&amp;cub_month=06&amp;cub_year=2017&amp;cub_desoneracao=2</t>
  </si>
  <si>
    <t>unidade</t>
  </si>
  <si>
    <t>Equipamentos de grande porte</t>
  </si>
  <si>
    <t>Equipamentos de menor porte</t>
  </si>
  <si>
    <t>Mobiliário</t>
  </si>
  <si>
    <t>AF1 - Estacionamento da diretoria e visitantes</t>
  </si>
  <si>
    <t>AF2 - Área do bloco administrativo</t>
  </si>
  <si>
    <t>AF3 - Área do bloco operacional</t>
  </si>
  <si>
    <t>AF4 -Área para lavagem de veículos</t>
  </si>
  <si>
    <t>AF5 - Área de abastecimento</t>
  </si>
  <si>
    <t>AF6 - Área de muros</t>
  </si>
  <si>
    <t>AF7 - Área dos tanques de diesel</t>
  </si>
  <si>
    <t>AV1 - Área de oficina</t>
  </si>
  <si>
    <t>AV2 - Área de estacionamento e circulação dos ônibus</t>
  </si>
  <si>
    <t>Áreas (todas as áreas foram consideradas variáveis em função da frota)</t>
  </si>
  <si>
    <t>Área total de pavimentação (AF1+AF4+AF5+AF6+AF7+AV2)</t>
  </si>
  <si>
    <t>Área Total</t>
  </si>
  <si>
    <t>Custo Total</t>
  </si>
  <si>
    <t>Construção do bloco administrativo (AF2)</t>
  </si>
  <si>
    <t>Área escritório (Construção Residencial-Padrão Normal-R1)</t>
  </si>
  <si>
    <t>Construção do bloco operacional (AF3)</t>
  </si>
  <si>
    <t>Construção da oficina (AV1)</t>
  </si>
  <si>
    <t>Área de oficina (Padrão Galpão Industrial- GI)</t>
  </si>
  <si>
    <t>Fator de correção (ANTP)</t>
  </si>
  <si>
    <t>Unidade</t>
  </si>
  <si>
    <t>Fluxo de caixa acumulado</t>
  </si>
  <si>
    <t>Payback</t>
  </si>
  <si>
    <t>RESULTADO ANTES DA DEPRECIAÇÃO E TRIBUTOS SOBRE RENDA</t>
  </si>
  <si>
    <t>Sistema de informação ao usuário e custo com venda de créditos</t>
  </si>
  <si>
    <t>Equivalente</t>
  </si>
  <si>
    <t>Custo com diesel (R$/l)</t>
  </si>
  <si>
    <t>Custo com ARLA (R$/l)</t>
  </si>
  <si>
    <t>Consumo de ARLA (% do combustível)</t>
  </si>
  <si>
    <t>Peças (coeficiente de consumo)</t>
  </si>
  <si>
    <t>Peças (R$/km)</t>
  </si>
  <si>
    <t>Custo Variável (R$/ano)</t>
  </si>
  <si>
    <t>Consumo diesel</t>
  </si>
  <si>
    <t>Encargos Sociais</t>
  </si>
  <si>
    <t>Salário Pessoal Controle Op.</t>
  </si>
  <si>
    <t>FU Pess. Controle Op.</t>
  </si>
  <si>
    <t>Salário</t>
  </si>
  <si>
    <t>Custo Anual (R$/veículo)</t>
  </si>
  <si>
    <t>Custo Anual (R$/ano)</t>
  </si>
  <si>
    <t>Bilhetagem (R$/veículo)</t>
  </si>
  <si>
    <t>Sistemas: equipamentos de garagem hardware + software</t>
  </si>
  <si>
    <t>Custo Unitário</t>
  </si>
  <si>
    <t>Despesas Gerais</t>
  </si>
  <si>
    <t>Novos</t>
  </si>
  <si>
    <t>Compra de Veículos Novos</t>
  </si>
  <si>
    <t>Perfil da Frota</t>
  </si>
  <si>
    <t>Venda de veículos</t>
  </si>
  <si>
    <t>Áreas externas (prefeitura de SP)</t>
  </si>
  <si>
    <t>INSS (alíquota =2%)</t>
  </si>
  <si>
    <t>RECEITAS</t>
  </si>
  <si>
    <t>PIS/COFINS Incidentes sobre Receita Extra Operacional (alíquota = 3,65%)</t>
  </si>
  <si>
    <t>Receitas Acessórias</t>
  </si>
  <si>
    <t>CÁLCULO DO IMPOSTO DE RENDA E CSLL</t>
  </si>
  <si>
    <t>Reinvestimento-Implantação de abrigos</t>
  </si>
  <si>
    <t>Bilhetagem (equipamento embarcado)</t>
  </si>
  <si>
    <t>Veículos acima de 10 passageiros</t>
  </si>
  <si>
    <t>Veículos comuns de passageiros</t>
  </si>
  <si>
    <t>Máquinas de processamento de dados, leitores etc.</t>
  </si>
  <si>
    <t>Fluxo de Caixa Anual</t>
  </si>
  <si>
    <t>RESULTADO NÃO OPERACIONAL (VENDAS)</t>
  </si>
  <si>
    <t>Infra-estrutura (garagem e almoxarifado inicial)</t>
  </si>
  <si>
    <t>Licenciamento (R$/veículo/ano)</t>
  </si>
  <si>
    <t>Garantia de execução contratual (R$/ano - (5% do valor do contrato))</t>
  </si>
  <si>
    <t>PAGANTES</t>
  </si>
  <si>
    <t>GRATUIDADE TIPO 29</t>
  </si>
  <si>
    <t>ESCOLAR</t>
  </si>
  <si>
    <t>TOTAL TRANSPORTADOS</t>
  </si>
  <si>
    <t>MESES</t>
  </si>
  <si>
    <t>Software - CCO - Sistema Bilhetagem e Monitoramento</t>
  </si>
  <si>
    <t xml:space="preserve">Veículos administrativos </t>
  </si>
  <si>
    <t>Demais linhas Urbanas</t>
  </si>
  <si>
    <t>Compra de veículos</t>
  </si>
  <si>
    <t>Usados</t>
  </si>
  <si>
    <t>TMA</t>
  </si>
  <si>
    <t xml:space="preserve">Receita acessória </t>
  </si>
  <si>
    <t>PASSE LIVRE</t>
  </si>
  <si>
    <t>Manutenção anual em pontos de paradas e abrigos</t>
  </si>
  <si>
    <t>Pontos de Paradas</t>
  </si>
  <si>
    <t>VPL (CONTRATO)</t>
  </si>
  <si>
    <t>Ano 16</t>
  </si>
  <si>
    <t>Ano 17</t>
  </si>
  <si>
    <t>Ano 18</t>
  </si>
  <si>
    <t>Ano 19</t>
  </si>
  <si>
    <t>Ano 20</t>
  </si>
  <si>
    <t>ANO 16</t>
  </si>
  <si>
    <t>ANO 17</t>
  </si>
  <si>
    <t>ANO 18</t>
  </si>
  <si>
    <t>ANO 19</t>
  </si>
  <si>
    <t>ANO 20</t>
  </si>
  <si>
    <t>Convencional Transporte Público</t>
  </si>
  <si>
    <t>Convencional TP</t>
  </si>
  <si>
    <t>ISS (alíquota =2%)</t>
  </si>
  <si>
    <t>ISS Incidente sobre Receita Extra Operacional (alíquota= 2%)</t>
  </si>
  <si>
    <t>PASSAGEIROS EQUIVALENTE</t>
  </si>
  <si>
    <t>custo pessoal</t>
  </si>
  <si>
    <t>custo combustivel</t>
  </si>
  <si>
    <t>outros custos</t>
  </si>
  <si>
    <t>Veículos Administrativos</t>
  </si>
  <si>
    <t>Garagens e edificio administrativo</t>
  </si>
  <si>
    <t>INFRAESTRUTURA</t>
  </si>
  <si>
    <t>ITENS DE DEPRECIAÇÃO</t>
  </si>
  <si>
    <t>INTEGRAÇÃO</t>
  </si>
  <si>
    <t>Quilometragem ano transporte urbano</t>
  </si>
  <si>
    <t>RECEITA TRANSPORTE PUBLICO</t>
  </si>
  <si>
    <t>TARIFA USUARIO TP</t>
  </si>
  <si>
    <t>REMUNERAÇÃO CONCESSIONÁRIA TP</t>
  </si>
  <si>
    <t>PASSAGEIROS EQUIV TRANSPORTADOS TP</t>
  </si>
  <si>
    <t>SUBSÍDIO ANUAL ESTIMADO</t>
  </si>
  <si>
    <t>SUBSÍDIO MENSAL ESTIMADO</t>
  </si>
  <si>
    <t>km anual ociosa</t>
  </si>
  <si>
    <t>km anual operacional</t>
  </si>
  <si>
    <t>km anual total</t>
  </si>
  <si>
    <t>Tarifa por km transporte urbano</t>
  </si>
  <si>
    <t>Fator de Utilização equivalente</t>
  </si>
  <si>
    <t>Fator de Utilização físico</t>
  </si>
  <si>
    <t>Despesas administrativas gerais (R$/veículo/ano)</t>
  </si>
  <si>
    <t>Edificação e infraestrutura</t>
  </si>
  <si>
    <t>Terreno para implantação da garagem</t>
  </si>
  <si>
    <t>Equipamentos</t>
  </si>
  <si>
    <t>Receita total - transporte urbano</t>
  </si>
  <si>
    <t>PIS e COFINS (receita acessória)</t>
  </si>
  <si>
    <t>Depreciação</t>
  </si>
  <si>
    <t>Resultado após depreciação (base para IR e CSLL)</t>
  </si>
  <si>
    <t>IR e CSLL</t>
  </si>
  <si>
    <t>Resultado do exercício</t>
  </si>
  <si>
    <t>Preço do diesel S10 no Guarujá</t>
  </si>
  <si>
    <t>Distribuidor jun/22</t>
  </si>
  <si>
    <t>R$/l</t>
  </si>
  <si>
    <t>Variação</t>
  </si>
  <si>
    <t>Distribuidor set/22</t>
  </si>
  <si>
    <t>Revenda jun/22</t>
  </si>
  <si>
    <t>Revenda set/22</t>
  </si>
  <si>
    <t>Consumo de lubrificante (% do custo com diesel)</t>
  </si>
  <si>
    <t>FU - motorista efetivo</t>
  </si>
  <si>
    <t>Coeficiente de diretoria, pessoal administrativo e de manutenção</t>
  </si>
  <si>
    <t>Diretoria, pessoal de administrativo e de manutenção</t>
  </si>
  <si>
    <t>Idade média</t>
  </si>
  <si>
    <t>Administrativo</t>
  </si>
  <si>
    <t>Equipamentos de bilhetagem, Monitoramento e sistemas</t>
  </si>
  <si>
    <t>(SIURB) 05-86-03-FORNECIMENTO E ASSENTAMENTO DE BLOCOS DE CONCRETO SOBRE AREIA - VIAS ARTERIAIS</t>
  </si>
  <si>
    <t>Terreno (R$/m2)</t>
  </si>
  <si>
    <t>Manutenção de abrigos</t>
  </si>
  <si>
    <t>Frota - Convencional TP</t>
  </si>
  <si>
    <t>Tarifa pública em vigor</t>
  </si>
  <si>
    <t>DESPESAS OPERACIONAIS E ADMINISTRATIVAS</t>
  </si>
  <si>
    <t>Despesas gerais e administrativas, incluindo garantia de execução</t>
  </si>
  <si>
    <t>Base anual</t>
  </si>
  <si>
    <t>FROTA OPERACIONAL ESTIMADA</t>
  </si>
  <si>
    <t>REMUNERAÇÃO / FROTA OPERACIONAL</t>
  </si>
  <si>
    <t>FROTA TOTAL ESTIMADA</t>
  </si>
  <si>
    <t>REMUNERAÇÃO / FROTA TOTAL</t>
  </si>
  <si>
    <t>Projeção Concessão</t>
  </si>
  <si>
    <t>Dia útil</t>
  </si>
  <si>
    <t>Linha</t>
  </si>
  <si>
    <t>Frota</t>
  </si>
  <si>
    <t>Tipo de Tabelas</t>
  </si>
  <si>
    <t>Duplas</t>
  </si>
  <si>
    <t>Viagens</t>
  </si>
  <si>
    <t>Extensao</t>
  </si>
  <si>
    <t>Km</t>
  </si>
  <si>
    <t>Horas - Motoristas</t>
  </si>
  <si>
    <t>PM</t>
  </si>
  <si>
    <t>EP</t>
  </si>
  <si>
    <t>PT</t>
  </si>
  <si>
    <t>Normal</t>
  </si>
  <si>
    <t>3º. Turno</t>
  </si>
  <si>
    <t>Dupla Pegada</t>
  </si>
  <si>
    <t>Ida</t>
  </si>
  <si>
    <t>Volta</t>
  </si>
  <si>
    <t>Média</t>
  </si>
  <si>
    <t>Produtiva</t>
  </si>
  <si>
    <t>Normais</t>
  </si>
  <si>
    <t>Extras</t>
  </si>
  <si>
    <t>Totais</t>
  </si>
  <si>
    <t>-</t>
  </si>
  <si>
    <t>03</t>
  </si>
  <si>
    <t>04</t>
  </si>
  <si>
    <t>05</t>
  </si>
  <si>
    <t>06</t>
  </si>
  <si>
    <t>09</t>
  </si>
  <si>
    <t>11</t>
  </si>
  <si>
    <t>18</t>
  </si>
  <si>
    <t>25</t>
  </si>
  <si>
    <t>Sábado</t>
  </si>
  <si>
    <t>Domingo</t>
  </si>
  <si>
    <t>DU</t>
  </si>
  <si>
    <t>Duração equivalente</t>
  </si>
  <si>
    <t>km mensal</t>
  </si>
  <si>
    <t>cartão</t>
  </si>
  <si>
    <t>dinheiro</t>
  </si>
  <si>
    <t>escolar</t>
  </si>
  <si>
    <t>passe livre</t>
  </si>
  <si>
    <t>tarifa</t>
  </si>
  <si>
    <t>receita anual</t>
  </si>
  <si>
    <t>Veíc. administrativo</t>
  </si>
  <si>
    <t>Fórmula de reajuste</t>
  </si>
  <si>
    <t>TOTAL (R$/km)</t>
  </si>
  <si>
    <t>CV com tributos (R$/km)</t>
  </si>
  <si>
    <t>CFMO com tributos (R$/km)</t>
  </si>
  <si>
    <t>Outros custos com tributos (R$/km)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</si>
</sst>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5">
    <numFmt numFmtId="8" formatCode="&quot;R$&quot;\ #,##0.00;[Red]\-&quot;R$&quot;\ #,##0.00"/>
    <numFmt numFmtId="41" formatCode="_-* #,##0_-;\-* #,##0_-;_-* &quot;-&quot;_-;_-@_-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R$&quot;#,##0.00;[Red]\-&quot;R$&quot;#,##0.00"/>
    <numFmt numFmtId="165" formatCode="_-&quot;R$&quot;* #,##0.00_-;\-&quot;R$&quot;* #,##0.00_-;_-&quot;R$&quot;* &quot;-&quot;??_-;_-@_-"/>
    <numFmt numFmtId="166" formatCode="_(* #,##0_);_(* \(#,##0\);_(* &quot;-&quot;_);_(@_)"/>
    <numFmt numFmtId="167" formatCode="_(&quot;R$ &quot;* #,##0.00_);_(&quot;R$ &quot;* \(#,##0.00\);_(&quot;R$ &quot;* &quot;-&quot;??_);_(@_)"/>
    <numFmt numFmtId="168" formatCode="_(* #,##0.00_);_(* \(#,##0.00\);_(* &quot;-&quot;??_);_(@_)"/>
    <numFmt numFmtId="169" formatCode="0.0%"/>
    <numFmt numFmtId="170" formatCode="0.0"/>
    <numFmt numFmtId="171" formatCode="0.000"/>
    <numFmt numFmtId="172" formatCode="0.0000"/>
    <numFmt numFmtId="173" formatCode="_(* #,##0_);_(* \(#,##0\);_(* &quot;-&quot;??_);_(@_)"/>
    <numFmt numFmtId="174" formatCode="0.00000"/>
    <numFmt numFmtId="175" formatCode="[$-416]mmm\-yy;@"/>
    <numFmt numFmtId="176" formatCode="dd/mm/yy;@"/>
    <numFmt numFmtId="177" formatCode="_(&quot;$&quot;* #,##0_);_(&quot;$&quot;* \(#,##0\);_(&quot;$&quot;* &quot;-&quot;_);_(@_)"/>
    <numFmt numFmtId="178" formatCode="_-* #,##0\ &quot;F&quot;_-;\-* #,##0\ &quot;F&quot;_-;_-* &quot;-&quot;\ &quot;F&quot;_-;_-@_-"/>
    <numFmt numFmtId="179" formatCode="_-* #,##0\ _F_-;\-* #,##0\ _F_-;_-* &quot;-&quot;\ _F_-;_-@_-"/>
    <numFmt numFmtId="180" formatCode="_-* #,##0.00\ &quot;F&quot;_-;\-* #,##0.00\ &quot;F&quot;_-;_-* &quot;-&quot;??\ &quot;F&quot;_-;_-@_-"/>
    <numFmt numFmtId="181" formatCode="_-* #,##0.00\ _F_-;\-* #,##0.00\ _F_-;_-* &quot;-&quot;??\ _F_-;_-@_-"/>
    <numFmt numFmtId="182" formatCode="_([$€]* #,##0.00_);_([$€]* \(#,##0.00\);_([$€]* &quot;-&quot;??_);_(@_)"/>
    <numFmt numFmtId="183" formatCode="_-* #,##0.0000_-;\-* #,##0.0000_-;_-* &quot;-&quot;??_-;_-@_-"/>
    <numFmt numFmtId="184" formatCode="_-* #,##0\ &quot;DM&quot;_-;\-* #,##0\ &quot;DM&quot;_-;_-* &quot;-&quot;\ &quot;DM&quot;_-;_-@_-"/>
    <numFmt numFmtId="185" formatCode="_-* #,##0\ _D_M_-;\-* #,##0\ _D_M_-;_-* &quot;-&quot;\ _D_M_-;_-@_-"/>
    <numFmt numFmtId="186" formatCode="_-* #,##0.00\ &quot;DM&quot;_-;\-* #,##0.00\ &quot;DM&quot;_-;_-* &quot;-&quot;??\ &quot;DM&quot;_-;_-@_-"/>
    <numFmt numFmtId="187" formatCode="_-* #,##0.00\ _D_M_-;\-* #,##0.00\ _D_M_-;_-* &quot;-&quot;??\ _D_M_-;_-@_-"/>
    <numFmt numFmtId="188" formatCode="#."/>
    <numFmt numFmtId="189" formatCode="_-&quot;L.&quot;\ * #,##0_-;\-&quot;L.&quot;\ * #,##0_-;_-&quot;L.&quot;\ * &quot;-&quot;_-;_-@_-"/>
    <numFmt numFmtId="190" formatCode="mmm\ yyyy_);&quot;Error &lt;0  &quot;;dd\ mmm\ yyyy_);&quot;  &quot;@"/>
    <numFmt numFmtId="191" formatCode="#,##0_);[Red]\(#,##0\);&quot;-&quot;_);[Blue]&quot;Error-&quot;@"/>
    <numFmt numFmtId="192" formatCode="_(&quot;$&quot;* #,##0.00_);_(&quot;$&quot;* \(#,##0.00\);_(&quot;$&quot;* &quot;-&quot;??_);_(@_)"/>
    <numFmt numFmtId="193" formatCode="#,##0;\(0,000\)"/>
    <numFmt numFmtId="194" formatCode="_(#,##0_);\(#,##0\)"/>
    <numFmt numFmtId="195" formatCode="_(* #,##0_);_(* \(#,##0\);_(* &quot;0&quot;_);_(@_)"/>
    <numFmt numFmtId="196" formatCode="_(* #,##0%_);_(* \(#,##0%\);_(* &quot;0%&quot;??_);_(@_)"/>
    <numFmt numFmtId="197" formatCode="_(* #,##0.00%_);_(* \(#,##0.00%\);_(* &quot;0,00%&quot;??_);_(@_)"/>
    <numFmt numFmtId="198" formatCode="_(* #,##0.0%_);_(* \(#,##0.0%\);_(* &quot;0,0%&quot;_);_(@_)"/>
    <numFmt numFmtId="199" formatCode="_(* #,##0.0_);_(* \(#,##0.0\);_(* &quot;0,0&quot;_);_(@_)"/>
    <numFmt numFmtId="200" formatCode="_(* #,##0.0\x_);_(* \(#,##0.0\x\);_(* &quot;0,0x&quot;_);_(@_)"/>
    <numFmt numFmtId="201" formatCode="_(* #,##0\x_);_(* \(#,##0\x\);_(* &quot;0x&quot;_);_(@_)"/>
    <numFmt numFmtId="202" formatCode="_(* #,##0.00\x_);_(* \(#,##0.00\x\);_(* &quot;0,00x&quot;_);_(@_)"/>
    <numFmt numFmtId="203" formatCode="_(* #,##0.00_);_(* \(#,##0.00\);_(* &quot;0,00&quot;_);_(@_)"/>
    <numFmt numFmtId="204" formatCode="#\ ###\ ###\ ##0\ "/>
    <numFmt numFmtId="205" formatCode="&quot; &quot;#,##0.00&quot; &quot;;&quot; (&quot;#,##0.00&quot;)&quot;;&quot; -&quot;00&quot; &quot;;&quot; &quot;@&quot; &quot;"/>
    <numFmt numFmtId="206" formatCode="General_)"/>
    <numFmt numFmtId="207" formatCode="\$#,##0\ ;\(\$#,##0\)"/>
    <numFmt numFmtId="208" formatCode="#,##0.00\ ;[Red]\(#,##0.00\);\-;"/>
    <numFmt numFmtId="209" formatCode="#,##0\ ;[Red]\(#,##0\);\-;"/>
    <numFmt numFmtId="210" formatCode="#,###,\ ;[Red]\(#,###,\);\-;"/>
    <numFmt numFmtId="211" formatCode="#,###,,\ ;[Red]\(#,###,,\);\-;"/>
    <numFmt numFmtId="212" formatCode="_(* #,##0.0_);_(* \(#,##0.0\);_(* &quot;-&quot;??_);_(@_)"/>
    <numFmt numFmtId="213" formatCode="_([$€-2]* #,##0.00_);_([$€-2]* \(#,##0.00\);_([$€-2]* &quot;-&quot;??_)"/>
    <numFmt numFmtId="214" formatCode="&quot;000-&quot;0000\-000"/>
    <numFmt numFmtId="215" formatCode="&quot;600-&quot;0000\-000"/>
    <numFmt numFmtId="216" formatCode="&quot;700-&quot;0000\-000"/>
    <numFmt numFmtId="217" formatCode="[Blue]General"/>
    <numFmt numFmtId="218" formatCode="#,##0_%_);\(#,##0\)_%;#,##0_%_);@_%_)"/>
    <numFmt numFmtId="219" formatCode="#,##0.00_%_);\(#,##0.00\)_%;#,##0.00_%_);@_%_)"/>
    <numFmt numFmtId="220" formatCode="_(&quot;£&quot;\ #,##0,\k_);_(&quot;- £&quot;\ #,##0,\k_);_(&quot;£   -&quot;_);_(@_)"/>
    <numFmt numFmtId="221" formatCode="&quot;$&quot;#,##0_%_);\(&quot;$&quot;#,##0\)_%;&quot;$&quot;#,##0_%_);@_%_)"/>
    <numFmt numFmtId="222" formatCode="&quot;$&quot;#,##0.00_%_);\(&quot;$&quot;#,##0.00\)_%;&quot;$&quot;#,##0.00_%_);@_%_)"/>
    <numFmt numFmtId="223" formatCode="m/d/yy_%_)"/>
    <numFmt numFmtId="224" formatCode="0_%_);\(0\)_%;0_%_);@_%_)"/>
    <numFmt numFmtId="225" formatCode="#,#00"/>
    <numFmt numFmtId="226" formatCode="0.0\%_);\(0.0\%\);0.0\%_);@_%_)"/>
    <numFmt numFmtId="227" formatCode="_ * #,##0_ ;_ * \-#,##0_ ;_ * &quot;-&quot;_ ;_ @_ "/>
    <numFmt numFmtId="228" formatCode="_ * #,##0.00_ ;_ * \-#,##0.00_ ;_ * &quot;-&quot;??_ ;_ @_ "/>
    <numFmt numFmtId="229" formatCode="_-* #,##0.00_-;_-* #,##0.00\-;_-* &quot;-&quot;??_-;_-@_-"/>
    <numFmt numFmtId="230" formatCode="_(&quot;R$&quot;\ * #,##0.00_);_(&quot;R$&quot;\ * \(#,##0.00\);_(&quot;R$&quot;\ * &quot;-&quot;??_);_(@_)"/>
    <numFmt numFmtId="231" formatCode="_(* #,##0.000_);_(* \(#,##0.000\);_(* &quot;-&quot;??_);_(@_)"/>
    <numFmt numFmtId="232" formatCode="_ &quot;S/&quot;* #,##0_ ;_ &quot;S/&quot;* \-#,##0_ ;_ &quot;S/&quot;* &quot;-&quot;_ ;_ @_ "/>
    <numFmt numFmtId="233" formatCode="_ &quot;S/&quot;* #,##0.00_ ;_ &quot;S/&quot;* \-#,##0.00_ ;_ &quot;S/&quot;* &quot;-&quot;??_ ;_ @_ "/>
    <numFmt numFmtId="234" formatCode="0.0\x_)_);&quot;NM&quot;_x_)_);0.0\x_)_);@_%_)"/>
    <numFmt numFmtId="235" formatCode="0.00_)"/>
    <numFmt numFmtId="236" formatCode="0.00%;\(0.00%\)"/>
    <numFmt numFmtId="237" formatCode="#,##0.00;\(#,##0.00\)"/>
    <numFmt numFmtId="238" formatCode="%#,#00"/>
    <numFmt numFmtId="239" formatCode="#.##000"/>
    <numFmt numFmtId="240" formatCode="#,##0.0_);\(#,##0.0\)"/>
    <numFmt numFmtId="241" formatCode="#,"/>
    <numFmt numFmtId="242" formatCode="#&quot; &quot;?/4"/>
    <numFmt numFmtId="243" formatCode="_-* #,##0_-;\-* #,##0_-;_-* &quot;-&quot;??_-;_-@_-"/>
    <numFmt numFmtId="244" formatCode="[h]:mm"/>
  </numFmts>
  <fonts count="146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8"/>
      <color indexed="18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2"/>
      <name val="Helv"/>
    </font>
    <font>
      <sz val="9"/>
      <name val="Arial"/>
      <family val="2"/>
    </font>
    <font>
      <sz val="10"/>
      <name val="Geneva"/>
    </font>
    <font>
      <sz val="1"/>
      <color indexed="16"/>
      <name val="Courier"/>
      <family val="3"/>
    </font>
    <font>
      <b/>
      <sz val="12"/>
      <name val="Times New Roman"/>
      <family val="1"/>
    </font>
    <font>
      <sz val="12"/>
      <name val="Times New Roman"/>
      <family val="1"/>
    </font>
    <font>
      <sz val="8"/>
      <color indexed="12"/>
      <name val="Arial"/>
      <family val="2"/>
    </font>
    <font>
      <b/>
      <sz val="9"/>
      <color indexed="10"/>
      <name val="Arial"/>
      <family val="2"/>
    </font>
    <font>
      <b/>
      <sz val="1"/>
      <color indexed="16"/>
      <name val="Courier"/>
      <family val="3"/>
    </font>
    <font>
      <i/>
      <sz val="9"/>
      <color indexed="54"/>
      <name val="Arial Narrow"/>
      <family val="2"/>
    </font>
    <font>
      <sz val="12"/>
      <name val="SWISS"/>
    </font>
    <font>
      <sz val="8"/>
      <color indexed="10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b/>
      <sz val="8"/>
      <color indexed="10"/>
      <name val="Arial"/>
      <family val="2"/>
    </font>
    <font>
      <sz val="8"/>
      <color indexed="24"/>
      <name val="Arial"/>
      <family val="2"/>
    </font>
    <font>
      <sz val="8"/>
      <color indexed="14"/>
      <name val="Arial"/>
      <family val="2"/>
    </font>
    <font>
      <sz val="12"/>
      <name val="標楷體"/>
      <family val="4"/>
      <charset val="136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0"/>
      <color indexed="18"/>
      <name val="Arial"/>
      <family val="2"/>
    </font>
    <font>
      <sz val="11"/>
      <color indexed="20"/>
      <name val="Calibri"/>
      <family val="2"/>
    </font>
    <font>
      <sz val="10"/>
      <color indexed="8"/>
      <name val="Arial"/>
      <family val="2"/>
    </font>
    <font>
      <sz val="10"/>
      <color indexed="12"/>
      <name val="Arial"/>
      <family val="2"/>
    </font>
    <font>
      <sz val="7"/>
      <name val="SwitzerlandLight"/>
    </font>
    <font>
      <sz val="12"/>
      <color indexed="24"/>
      <name val="Arial"/>
      <family val="2"/>
    </font>
    <font>
      <sz val="14"/>
      <color indexed="24"/>
      <name val="Arial"/>
      <family val="2"/>
    </font>
    <font>
      <b/>
      <sz val="11"/>
      <color indexed="52"/>
      <name val="Calibri"/>
      <family val="2"/>
    </font>
    <font>
      <sz val="10"/>
      <name val="Times New Roman"/>
      <family val="1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0"/>
      <name val="Times New Roman"/>
      <family val="1"/>
    </font>
    <font>
      <sz val="11"/>
      <color indexed="17"/>
      <name val="Calibri"/>
      <family val="2"/>
    </font>
    <font>
      <sz val="10"/>
      <color indexed="17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color indexed="24"/>
      <name val="Arial"/>
      <family val="2"/>
    </font>
    <font>
      <b/>
      <sz val="10"/>
      <name val="MS Sans Serif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sz val="10"/>
      <name val="Arial"/>
      <family val="2"/>
    </font>
    <font>
      <sz val="10"/>
      <color indexed="8"/>
      <name val="MS Sans Serif"/>
      <family val="2"/>
    </font>
    <font>
      <sz val="11"/>
      <name val="Calibri"/>
      <family val="2"/>
    </font>
    <font>
      <sz val="11"/>
      <color indexed="8"/>
      <name val="Calibri"/>
      <family val="2"/>
    </font>
    <font>
      <sz val="11"/>
      <color indexed="8"/>
      <name val="Arial"/>
      <family val="2"/>
    </font>
    <font>
      <b/>
      <sz val="10"/>
      <name val="Calibri"/>
      <family val="2"/>
    </font>
    <font>
      <sz val="10"/>
      <name val="Calibri"/>
      <family val="2"/>
    </font>
    <font>
      <sz val="10"/>
      <color indexed="18"/>
      <name val="Arial"/>
      <family val="2"/>
    </font>
    <font>
      <b/>
      <sz val="10"/>
      <color indexed="8"/>
      <name val="Arial"/>
      <family val="2"/>
    </font>
    <font>
      <sz val="10"/>
      <name val="Courier"/>
      <family val="3"/>
    </font>
    <font>
      <sz val="8"/>
      <name val="SwitzerlandLight"/>
    </font>
    <font>
      <sz val="7"/>
      <name val="Times New Roman"/>
      <family val="1"/>
    </font>
    <font>
      <sz val="1"/>
      <color indexed="8"/>
      <name val="Courier"/>
      <family val="3"/>
    </font>
    <font>
      <b/>
      <sz val="20"/>
      <name val="Arial"/>
      <family val="2"/>
    </font>
    <font>
      <b/>
      <sz val="10"/>
      <name val="Verdana"/>
      <family val="2"/>
    </font>
    <font>
      <sz val="10"/>
      <name val="Verdana"/>
      <family val="2"/>
    </font>
    <font>
      <sz val="12"/>
      <color indexed="21"/>
      <name val="Arial"/>
      <family val="2"/>
    </font>
    <font>
      <sz val="9"/>
      <name val="Helvetica-Black"/>
    </font>
    <font>
      <b/>
      <sz val="14"/>
      <name val="Times New Roman"/>
      <family val="1"/>
    </font>
    <font>
      <b/>
      <sz val="16"/>
      <color indexed="9"/>
      <name val="Arial"/>
      <family val="2"/>
    </font>
    <font>
      <sz val="10"/>
      <name val="Arial (Hebrew)"/>
      <charset val="177"/>
    </font>
    <font>
      <sz val="11"/>
      <color indexed="8"/>
      <name val="Calibri"/>
      <family val="2"/>
    </font>
    <font>
      <b/>
      <sz val="12"/>
      <name val="Arial"/>
      <family val="2"/>
    </font>
    <font>
      <sz val="8"/>
      <name val="Helv"/>
    </font>
    <font>
      <sz val="8"/>
      <name val="Palatino"/>
      <family val="1"/>
    </font>
    <font>
      <sz val="10"/>
      <name val="Helv"/>
    </font>
    <font>
      <sz val="10"/>
      <name val="BERNHARD"/>
    </font>
    <font>
      <sz val="10"/>
      <color indexed="10"/>
      <name val="Times New Roman"/>
      <family val="1"/>
    </font>
    <font>
      <sz val="7"/>
      <name val="Palatino"/>
      <family val="1"/>
    </font>
    <font>
      <b/>
      <sz val="48"/>
      <color indexed="12"/>
      <name val="Lucida Console"/>
      <family val="3"/>
    </font>
    <font>
      <sz val="10"/>
      <name val="Comic Sans MS"/>
      <family val="4"/>
    </font>
    <font>
      <sz val="6"/>
      <color indexed="16"/>
      <name val="Palatino"/>
      <family val="1"/>
    </font>
    <font>
      <sz val="18"/>
      <name val="Helvetica-Black"/>
    </font>
    <font>
      <i/>
      <sz val="14"/>
      <name val="Palatino"/>
      <family val="1"/>
    </font>
    <font>
      <sz val="10"/>
      <name val="N Helvetica Narrow"/>
    </font>
    <font>
      <b/>
      <sz val="10"/>
      <color indexed="37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name val="Palatino"/>
      <family val="1"/>
    </font>
    <font>
      <sz val="12"/>
      <name val="Courier"/>
      <family val="3"/>
    </font>
    <font>
      <sz val="10"/>
      <name val="Bliss 2 Regular"/>
    </font>
    <font>
      <sz val="11"/>
      <color indexed="8"/>
      <name val="Times New Roman"/>
      <family val="1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22"/>
      <color indexed="8"/>
      <name val="Times New Roman"/>
      <family val="1"/>
    </font>
    <font>
      <sz val="10"/>
      <color indexed="16"/>
      <name val="Helvetica-Black"/>
    </font>
    <font>
      <sz val="10"/>
      <color indexed="12"/>
      <name val="Geneva"/>
      <family val="2"/>
    </font>
    <font>
      <b/>
      <sz val="12"/>
      <color indexed="8"/>
      <name val="Arial"/>
      <family val="2"/>
    </font>
    <font>
      <b/>
      <i/>
      <sz val="12"/>
      <color indexed="8"/>
      <name val="Arial"/>
      <family val="2"/>
    </font>
    <font>
      <sz val="12"/>
      <color indexed="8"/>
      <name val="Arial"/>
      <family val="2"/>
    </font>
    <font>
      <i/>
      <sz val="12"/>
      <color indexed="8"/>
      <name val="Arial"/>
      <family val="2"/>
    </font>
    <font>
      <sz val="19"/>
      <color indexed="48"/>
      <name val="Arial"/>
      <family val="2"/>
    </font>
    <font>
      <sz val="12"/>
      <color indexed="14"/>
      <name val="Arial"/>
      <family val="2"/>
    </font>
    <font>
      <b/>
      <i/>
      <sz val="14"/>
      <name val="Arial"/>
      <family val="2"/>
    </font>
    <font>
      <b/>
      <sz val="9"/>
      <name val="Palatino"/>
      <family val="1"/>
    </font>
    <font>
      <sz val="9"/>
      <color indexed="21"/>
      <name val="Helvetica-Black"/>
    </font>
    <font>
      <b/>
      <sz val="1"/>
      <color indexed="8"/>
      <name val="Courier"/>
      <family val="3"/>
    </font>
    <font>
      <b/>
      <sz val="10"/>
      <name val="Times New Roman"/>
      <family val="1"/>
    </font>
    <font>
      <b/>
      <sz val="10"/>
      <color indexed="9"/>
      <name val="Times New Roman"/>
      <family val="1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color indexed="8"/>
      <name val="Times New Roman"/>
      <family val="1"/>
    </font>
    <font>
      <sz val="10"/>
      <color indexed="9"/>
      <name val="Times New Roman"/>
      <family val="1"/>
    </font>
    <font>
      <sz val="8"/>
      <name val="Arial"/>
      <family val="2"/>
    </font>
    <font>
      <b/>
      <sz val="10"/>
      <color indexed="8"/>
      <name val="Times New Roman"/>
      <family val="1"/>
    </font>
    <font>
      <b/>
      <sz val="11"/>
      <color indexed="8"/>
      <name val="Times New Roman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006100"/>
      <name val="Calibri"/>
      <family val="2"/>
    </font>
    <font>
      <b/>
      <sz val="11"/>
      <color rgb="FFFA7D00"/>
      <name val="Calibri"/>
      <family val="2"/>
    </font>
    <font>
      <b/>
      <sz val="11"/>
      <color theme="0"/>
      <name val="Calibri"/>
      <family val="2"/>
    </font>
    <font>
      <sz val="11"/>
      <color rgb="FFFA7D00"/>
      <name val="Calibri"/>
      <family val="2"/>
    </font>
    <font>
      <sz val="11"/>
      <color rgb="FF3F3F76"/>
      <name val="Calibri"/>
      <family val="2"/>
    </font>
    <font>
      <u/>
      <sz val="11"/>
      <color theme="10"/>
      <name val="Calibri"/>
      <family val="2"/>
      <scheme val="minor"/>
    </font>
    <font>
      <sz val="11"/>
      <color rgb="FF9C0006"/>
      <name val="Calibri"/>
      <family val="2"/>
    </font>
    <font>
      <sz val="11"/>
      <color rgb="FF9C6500"/>
      <name val="Calibri"/>
      <family val="2"/>
    </font>
    <font>
      <sz val="10"/>
      <color rgb="FF000000"/>
      <name val="Arial"/>
      <family val="2"/>
    </font>
    <font>
      <sz val="10"/>
      <color rgb="FF000000"/>
      <name val="MS Sans Serif"/>
      <family val="2"/>
    </font>
    <font>
      <b/>
      <sz val="11"/>
      <color rgb="FF3F3F3F"/>
      <name val="Calibri"/>
      <family val="2"/>
    </font>
    <font>
      <sz val="11"/>
      <color rgb="FFFF0000"/>
      <name val="Calibri"/>
      <family val="2"/>
    </font>
    <font>
      <i/>
      <sz val="11"/>
      <color rgb="FF7F7F7F"/>
      <name val="Calibri"/>
      <family val="2"/>
    </font>
    <font>
      <b/>
      <sz val="15"/>
      <color theme="3"/>
      <name val="Calibri"/>
      <family val="2"/>
    </font>
    <font>
      <b/>
      <sz val="13"/>
      <color theme="3"/>
      <name val="Calibri"/>
      <family val="2"/>
    </font>
    <font>
      <b/>
      <sz val="11"/>
      <color theme="3"/>
      <name val="Calibri"/>
      <family val="2"/>
    </font>
    <font>
      <b/>
      <sz val="11"/>
      <color theme="1"/>
      <name val="Calibri"/>
      <family val="2"/>
    </font>
    <font>
      <sz val="10"/>
      <color theme="0"/>
      <name val="Times New Roman"/>
      <family val="1"/>
    </font>
    <font>
      <sz val="12"/>
      <color theme="1"/>
      <name val="Times New Roman"/>
      <family val="1"/>
    </font>
    <font>
      <sz val="12"/>
      <color indexed="8"/>
      <name val="Times New Roman"/>
      <family val="1"/>
    </font>
  </fonts>
  <fills count="8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  <bgColor indexed="64"/>
      </patternFill>
    </fill>
    <fill>
      <patternFill patternType="gray0625"/>
    </fill>
    <fill>
      <patternFill patternType="solid">
        <fgColor indexed="4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3"/>
        <bgColor indexed="64"/>
      </patternFill>
    </fill>
    <fill>
      <patternFill patternType="mediumGray">
        <fgColor indexed="22"/>
      </patternFill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4"/>
      </patternFill>
    </fill>
    <fill>
      <patternFill patternType="solid">
        <fgColor indexed="40"/>
        <bgColor indexed="64"/>
      </patternFill>
    </fill>
    <fill>
      <patternFill patternType="solid">
        <fgColor indexed="58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98">
    <border>
      <left/>
      <right/>
      <top/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2"/>
      </left>
      <right/>
      <top/>
      <bottom/>
      <diagonal/>
    </border>
    <border>
      <left/>
      <right/>
      <top style="thin">
        <color indexed="18"/>
      </top>
      <bottom style="thin">
        <color indexed="18"/>
      </bottom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hair">
        <color indexed="22"/>
      </top>
      <bottom style="hair">
        <color indexed="22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ck">
        <color indexed="25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23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23"/>
      </top>
      <bottom style="hair">
        <color indexed="22"/>
      </bottom>
      <diagonal/>
    </border>
    <border>
      <left/>
      <right/>
      <top style="hair">
        <color indexed="22"/>
      </top>
      <bottom style="thin">
        <color indexed="2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1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851">
    <xf numFmtId="0" fontId="0" fillId="0" borderId="0"/>
    <xf numFmtId="0" fontId="1" fillId="0" borderId="0"/>
    <xf numFmtId="0" fontId="2" fillId="0" borderId="0"/>
    <xf numFmtId="0" fontId="66" fillId="0" borderId="0">
      <alignment vertical="center"/>
    </xf>
    <xf numFmtId="0" fontId="66" fillId="0" borderId="0">
      <alignment vertical="center"/>
    </xf>
    <xf numFmtId="213" fontId="66" fillId="0" borderId="0">
      <alignment vertical="center"/>
    </xf>
    <xf numFmtId="0" fontId="66" fillId="0" borderId="0">
      <alignment vertical="center"/>
    </xf>
    <xf numFmtId="213" fontId="66" fillId="0" borderId="0">
      <alignment vertical="center"/>
    </xf>
    <xf numFmtId="0" fontId="66" fillId="0" borderId="0">
      <alignment vertical="center"/>
    </xf>
    <xf numFmtId="213" fontId="66" fillId="0" borderId="0">
      <alignment vertical="center"/>
    </xf>
    <xf numFmtId="213" fontId="66" fillId="0" borderId="0">
      <alignment vertical="center"/>
    </xf>
    <xf numFmtId="0" fontId="66" fillId="0" borderId="0">
      <alignment vertical="center"/>
    </xf>
    <xf numFmtId="213" fontId="66" fillId="0" borderId="0">
      <alignment vertical="center"/>
    </xf>
    <xf numFmtId="0" fontId="66" fillId="0" borderId="0">
      <alignment vertical="center"/>
    </xf>
    <xf numFmtId="213" fontId="66" fillId="0" borderId="0">
      <alignment vertical="center"/>
    </xf>
    <xf numFmtId="0" fontId="1" fillId="0" borderId="0"/>
    <xf numFmtId="0" fontId="2" fillId="0" borderId="0"/>
    <xf numFmtId="0" fontId="2" fillId="0" borderId="0"/>
    <xf numFmtId="0" fontId="12" fillId="0" borderId="0"/>
    <xf numFmtId="0" fontId="66" fillId="0" borderId="0">
      <alignment vertical="center"/>
    </xf>
    <xf numFmtId="213" fontId="66" fillId="0" borderId="0">
      <alignment vertical="center"/>
    </xf>
    <xf numFmtId="0" fontId="66" fillId="0" borderId="0">
      <alignment vertical="center"/>
    </xf>
    <xf numFmtId="213" fontId="66" fillId="0" borderId="0">
      <alignment vertical="center"/>
    </xf>
    <xf numFmtId="0" fontId="66" fillId="0" borderId="0">
      <alignment vertical="center"/>
    </xf>
    <xf numFmtId="213" fontId="66" fillId="0" borderId="0">
      <alignment vertical="center"/>
    </xf>
    <xf numFmtId="0" fontId="2" fillId="0" borderId="0" applyFont="0" applyFill="0" applyBorder="0" applyAlignment="0" applyProtection="0">
      <alignment horizontal="left"/>
    </xf>
    <xf numFmtId="213" fontId="2" fillId="0" borderId="0" applyFont="0" applyFill="0" applyBorder="0" applyAlignment="0" applyProtection="0">
      <alignment horizontal="left"/>
    </xf>
    <xf numFmtId="214" fontId="80" fillId="0" borderId="0">
      <alignment horizontal="center"/>
    </xf>
    <xf numFmtId="0" fontId="28" fillId="2" borderId="0" applyNumberFormat="0" applyBorder="0" applyAlignment="0" applyProtection="0"/>
    <xf numFmtId="213" fontId="28" fillId="2" borderId="0" applyNumberFormat="0" applyBorder="0" applyAlignment="0" applyProtection="0"/>
    <xf numFmtId="0" fontId="28" fillId="3" borderId="0" applyNumberFormat="0" applyBorder="0" applyAlignment="0" applyProtection="0"/>
    <xf numFmtId="213" fontId="28" fillId="3" borderId="0" applyNumberFormat="0" applyBorder="0" applyAlignment="0" applyProtection="0"/>
    <xf numFmtId="0" fontId="28" fillId="4" borderId="0" applyNumberFormat="0" applyBorder="0" applyAlignment="0" applyProtection="0"/>
    <xf numFmtId="213" fontId="28" fillId="4" borderId="0" applyNumberFormat="0" applyBorder="0" applyAlignment="0" applyProtection="0"/>
    <xf numFmtId="0" fontId="28" fillId="5" borderId="0" applyNumberFormat="0" applyBorder="0" applyAlignment="0" applyProtection="0"/>
    <xf numFmtId="213" fontId="28" fillId="5" borderId="0" applyNumberFormat="0" applyBorder="0" applyAlignment="0" applyProtection="0"/>
    <xf numFmtId="0" fontId="28" fillId="6" borderId="0" applyNumberFormat="0" applyBorder="0" applyAlignment="0" applyProtection="0"/>
    <xf numFmtId="213" fontId="28" fillId="6" borderId="0" applyNumberFormat="0" applyBorder="0" applyAlignment="0" applyProtection="0"/>
    <xf numFmtId="0" fontId="28" fillId="7" borderId="0" applyNumberFormat="0" applyBorder="0" applyAlignment="0" applyProtection="0"/>
    <xf numFmtId="213" fontId="28" fillId="7" borderId="0" applyNumberFormat="0" applyBorder="0" applyAlignment="0" applyProtection="0"/>
    <xf numFmtId="0" fontId="124" fillId="53" borderId="0" applyNumberFormat="0" applyBorder="0" applyAlignment="0" applyProtection="0"/>
    <xf numFmtId="0" fontId="124" fillId="54" borderId="0" applyNumberFormat="0" applyBorder="0" applyAlignment="0" applyProtection="0"/>
    <xf numFmtId="0" fontId="124" fillId="55" borderId="0" applyNumberFormat="0" applyBorder="0" applyAlignment="0" applyProtection="0"/>
    <xf numFmtId="0" fontId="124" fillId="56" borderId="0" applyNumberFormat="0" applyBorder="0" applyAlignment="0" applyProtection="0"/>
    <xf numFmtId="0" fontId="124" fillId="57" borderId="0" applyNumberFormat="0" applyBorder="0" applyAlignment="0" applyProtection="0"/>
    <xf numFmtId="0" fontId="124" fillId="58" borderId="0" applyNumberFormat="0" applyBorder="0" applyAlignment="0" applyProtection="0"/>
    <xf numFmtId="0" fontId="28" fillId="2" borderId="0" applyNumberFormat="0" applyBorder="0" applyAlignment="0" applyProtection="0"/>
    <xf numFmtId="213" fontId="28" fillId="2" borderId="0" applyNumberFormat="0" applyBorder="0" applyAlignment="0" applyProtection="0"/>
    <xf numFmtId="0" fontId="28" fillId="3" borderId="0" applyNumberFormat="0" applyBorder="0" applyAlignment="0" applyProtection="0"/>
    <xf numFmtId="213" fontId="28" fillId="3" borderId="0" applyNumberFormat="0" applyBorder="0" applyAlignment="0" applyProtection="0"/>
    <xf numFmtId="0" fontId="28" fillId="4" borderId="0" applyNumberFormat="0" applyBorder="0" applyAlignment="0" applyProtection="0"/>
    <xf numFmtId="213" fontId="28" fillId="4" borderId="0" applyNumberFormat="0" applyBorder="0" applyAlignment="0" applyProtection="0"/>
    <xf numFmtId="0" fontId="28" fillId="5" borderId="0" applyNumberFormat="0" applyBorder="0" applyAlignment="0" applyProtection="0"/>
    <xf numFmtId="213" fontId="28" fillId="5" borderId="0" applyNumberFormat="0" applyBorder="0" applyAlignment="0" applyProtection="0"/>
    <xf numFmtId="0" fontId="28" fillId="6" borderId="0" applyNumberFormat="0" applyBorder="0" applyAlignment="0" applyProtection="0"/>
    <xf numFmtId="213" fontId="28" fillId="6" borderId="0" applyNumberFormat="0" applyBorder="0" applyAlignment="0" applyProtection="0"/>
    <xf numFmtId="0" fontId="28" fillId="7" borderId="0" applyNumberFormat="0" applyBorder="0" applyAlignment="0" applyProtection="0"/>
    <xf numFmtId="213" fontId="28" fillId="7" borderId="0" applyNumberFormat="0" applyBorder="0" applyAlignment="0" applyProtection="0"/>
    <xf numFmtId="0" fontId="28" fillId="8" borderId="0" applyNumberFormat="0" applyBorder="0" applyAlignment="0" applyProtection="0"/>
    <xf numFmtId="213" fontId="28" fillId="8" borderId="0" applyNumberFormat="0" applyBorder="0" applyAlignment="0" applyProtection="0"/>
    <xf numFmtId="0" fontId="28" fillId="9" borderId="0" applyNumberFormat="0" applyBorder="0" applyAlignment="0" applyProtection="0"/>
    <xf numFmtId="213" fontId="28" fillId="9" borderId="0" applyNumberFormat="0" applyBorder="0" applyAlignment="0" applyProtection="0"/>
    <xf numFmtId="0" fontId="28" fillId="10" borderId="0" applyNumberFormat="0" applyBorder="0" applyAlignment="0" applyProtection="0"/>
    <xf numFmtId="213" fontId="28" fillId="10" borderId="0" applyNumberFormat="0" applyBorder="0" applyAlignment="0" applyProtection="0"/>
    <xf numFmtId="0" fontId="28" fillId="5" borderId="0" applyNumberFormat="0" applyBorder="0" applyAlignment="0" applyProtection="0"/>
    <xf numFmtId="213" fontId="28" fillId="5" borderId="0" applyNumberFormat="0" applyBorder="0" applyAlignment="0" applyProtection="0"/>
    <xf numFmtId="0" fontId="28" fillId="8" borderId="0" applyNumberFormat="0" applyBorder="0" applyAlignment="0" applyProtection="0"/>
    <xf numFmtId="213" fontId="28" fillId="8" borderId="0" applyNumberFormat="0" applyBorder="0" applyAlignment="0" applyProtection="0"/>
    <xf numFmtId="0" fontId="28" fillId="11" borderId="0" applyNumberFormat="0" applyBorder="0" applyAlignment="0" applyProtection="0"/>
    <xf numFmtId="213" fontId="28" fillId="11" borderId="0" applyNumberFormat="0" applyBorder="0" applyAlignment="0" applyProtection="0"/>
    <xf numFmtId="0" fontId="124" fillId="59" borderId="0" applyNumberFormat="0" applyBorder="0" applyAlignment="0" applyProtection="0"/>
    <xf numFmtId="0" fontId="124" fillId="60" borderId="0" applyNumberFormat="0" applyBorder="0" applyAlignment="0" applyProtection="0"/>
    <xf numFmtId="0" fontId="124" fillId="61" borderId="0" applyNumberFormat="0" applyBorder="0" applyAlignment="0" applyProtection="0"/>
    <xf numFmtId="0" fontId="124" fillId="62" borderId="0" applyNumberFormat="0" applyBorder="0" applyAlignment="0" applyProtection="0"/>
    <xf numFmtId="0" fontId="124" fillId="63" borderId="0" applyNumberFormat="0" applyBorder="0" applyAlignment="0" applyProtection="0"/>
    <xf numFmtId="0" fontId="124" fillId="64" borderId="0" applyNumberFormat="0" applyBorder="0" applyAlignment="0" applyProtection="0"/>
    <xf numFmtId="0" fontId="28" fillId="8" borderId="0" applyNumberFormat="0" applyBorder="0" applyAlignment="0" applyProtection="0"/>
    <xf numFmtId="213" fontId="28" fillId="8" borderId="0" applyNumberFormat="0" applyBorder="0" applyAlignment="0" applyProtection="0"/>
    <xf numFmtId="0" fontId="28" fillId="9" borderId="0" applyNumberFormat="0" applyBorder="0" applyAlignment="0" applyProtection="0"/>
    <xf numFmtId="213" fontId="28" fillId="9" borderId="0" applyNumberFormat="0" applyBorder="0" applyAlignment="0" applyProtection="0"/>
    <xf numFmtId="0" fontId="28" fillId="10" borderId="0" applyNumberFormat="0" applyBorder="0" applyAlignment="0" applyProtection="0"/>
    <xf numFmtId="213" fontId="28" fillId="10" borderId="0" applyNumberFormat="0" applyBorder="0" applyAlignment="0" applyProtection="0"/>
    <xf numFmtId="0" fontId="28" fillId="5" borderId="0" applyNumberFormat="0" applyBorder="0" applyAlignment="0" applyProtection="0"/>
    <xf numFmtId="213" fontId="28" fillId="5" borderId="0" applyNumberFormat="0" applyBorder="0" applyAlignment="0" applyProtection="0"/>
    <xf numFmtId="0" fontId="28" fillId="8" borderId="0" applyNumberFormat="0" applyBorder="0" applyAlignment="0" applyProtection="0"/>
    <xf numFmtId="213" fontId="28" fillId="8" borderId="0" applyNumberFormat="0" applyBorder="0" applyAlignment="0" applyProtection="0"/>
    <xf numFmtId="0" fontId="28" fillId="11" borderId="0" applyNumberFormat="0" applyBorder="0" applyAlignment="0" applyProtection="0"/>
    <xf numFmtId="213" fontId="28" fillId="11" borderId="0" applyNumberFormat="0" applyBorder="0" applyAlignment="0" applyProtection="0"/>
    <xf numFmtId="0" fontId="29" fillId="12" borderId="0" applyNumberFormat="0" applyBorder="0" applyAlignment="0" applyProtection="0"/>
    <xf numFmtId="213" fontId="29" fillId="12" borderId="0" applyNumberFormat="0" applyBorder="0" applyAlignment="0" applyProtection="0"/>
    <xf numFmtId="0" fontId="29" fillId="9" borderId="0" applyNumberFormat="0" applyBorder="0" applyAlignment="0" applyProtection="0"/>
    <xf numFmtId="213" fontId="29" fillId="9" borderId="0" applyNumberFormat="0" applyBorder="0" applyAlignment="0" applyProtection="0"/>
    <xf numFmtId="0" fontId="29" fillId="10" borderId="0" applyNumberFormat="0" applyBorder="0" applyAlignment="0" applyProtection="0"/>
    <xf numFmtId="213" fontId="29" fillId="10" borderId="0" applyNumberFormat="0" applyBorder="0" applyAlignment="0" applyProtection="0"/>
    <xf numFmtId="0" fontId="29" fillId="13" borderId="0" applyNumberFormat="0" applyBorder="0" applyAlignment="0" applyProtection="0"/>
    <xf numFmtId="213" fontId="29" fillId="13" borderId="0" applyNumberFormat="0" applyBorder="0" applyAlignment="0" applyProtection="0"/>
    <xf numFmtId="0" fontId="29" fillId="14" borderId="0" applyNumberFormat="0" applyBorder="0" applyAlignment="0" applyProtection="0"/>
    <xf numFmtId="213" fontId="29" fillId="14" borderId="0" applyNumberFormat="0" applyBorder="0" applyAlignment="0" applyProtection="0"/>
    <xf numFmtId="0" fontId="29" fillId="15" borderId="0" applyNumberFormat="0" applyBorder="0" applyAlignment="0" applyProtection="0"/>
    <xf numFmtId="213" fontId="29" fillId="15" borderId="0" applyNumberFormat="0" applyBorder="0" applyAlignment="0" applyProtection="0"/>
    <xf numFmtId="0" fontId="125" fillId="65" borderId="0" applyNumberFormat="0" applyBorder="0" applyAlignment="0" applyProtection="0"/>
    <xf numFmtId="0" fontId="125" fillId="66" borderId="0" applyNumberFormat="0" applyBorder="0" applyAlignment="0" applyProtection="0"/>
    <xf numFmtId="0" fontId="125" fillId="67" borderId="0" applyNumberFormat="0" applyBorder="0" applyAlignment="0" applyProtection="0"/>
    <xf numFmtId="0" fontId="125" fillId="68" borderId="0" applyNumberFormat="0" applyBorder="0" applyAlignment="0" applyProtection="0"/>
    <xf numFmtId="0" fontId="125" fillId="69" borderId="0" applyNumberFormat="0" applyBorder="0" applyAlignment="0" applyProtection="0"/>
    <xf numFmtId="0" fontId="125" fillId="70" borderId="0" applyNumberFormat="0" applyBorder="0" applyAlignment="0" applyProtection="0"/>
    <xf numFmtId="0" fontId="29" fillId="12" borderId="0" applyNumberFormat="0" applyBorder="0" applyAlignment="0" applyProtection="0"/>
    <xf numFmtId="213" fontId="29" fillId="12" borderId="0" applyNumberFormat="0" applyBorder="0" applyAlignment="0" applyProtection="0"/>
    <xf numFmtId="0" fontId="29" fillId="9" borderId="0" applyNumberFormat="0" applyBorder="0" applyAlignment="0" applyProtection="0"/>
    <xf numFmtId="213" fontId="29" fillId="9" borderId="0" applyNumberFormat="0" applyBorder="0" applyAlignment="0" applyProtection="0"/>
    <xf numFmtId="0" fontId="29" fillId="10" borderId="0" applyNumberFormat="0" applyBorder="0" applyAlignment="0" applyProtection="0"/>
    <xf numFmtId="213" fontId="29" fillId="10" borderId="0" applyNumberFormat="0" applyBorder="0" applyAlignment="0" applyProtection="0"/>
    <xf numFmtId="0" fontId="29" fillId="13" borderId="0" applyNumberFormat="0" applyBorder="0" applyAlignment="0" applyProtection="0"/>
    <xf numFmtId="213" fontId="29" fillId="13" borderId="0" applyNumberFormat="0" applyBorder="0" applyAlignment="0" applyProtection="0"/>
    <xf numFmtId="0" fontId="29" fillId="14" borderId="0" applyNumberFormat="0" applyBorder="0" applyAlignment="0" applyProtection="0"/>
    <xf numFmtId="213" fontId="29" fillId="14" borderId="0" applyNumberFormat="0" applyBorder="0" applyAlignment="0" applyProtection="0"/>
    <xf numFmtId="0" fontId="29" fillId="15" borderId="0" applyNumberFormat="0" applyBorder="0" applyAlignment="0" applyProtection="0"/>
    <xf numFmtId="213" fontId="29" fillId="15" borderId="0" applyNumberFormat="0" applyBorder="0" applyAlignment="0" applyProtection="0"/>
    <xf numFmtId="215" fontId="80" fillId="0" borderId="0">
      <alignment horizontal="center"/>
    </xf>
    <xf numFmtId="216" fontId="80" fillId="0" borderId="0">
      <alignment horizontal="center"/>
    </xf>
    <xf numFmtId="37" fontId="10" fillId="0" borderId="0"/>
    <xf numFmtId="37" fontId="2" fillId="0" borderId="0"/>
    <xf numFmtId="37" fontId="2" fillId="0" borderId="0"/>
    <xf numFmtId="0" fontId="29" fillId="16" borderId="0" applyNumberFormat="0" applyBorder="0" applyAlignment="0" applyProtection="0"/>
    <xf numFmtId="213" fontId="29" fillId="16" borderId="0" applyNumberFormat="0" applyBorder="0" applyAlignment="0" applyProtection="0"/>
    <xf numFmtId="0" fontId="29" fillId="17" borderId="0" applyNumberFormat="0" applyBorder="0" applyAlignment="0" applyProtection="0"/>
    <xf numFmtId="213" fontId="29" fillId="17" borderId="0" applyNumberFormat="0" applyBorder="0" applyAlignment="0" applyProtection="0"/>
    <xf numFmtId="0" fontId="29" fillId="18" borderId="0" applyNumberFormat="0" applyBorder="0" applyAlignment="0" applyProtection="0"/>
    <xf numFmtId="213" fontId="29" fillId="18" borderId="0" applyNumberFormat="0" applyBorder="0" applyAlignment="0" applyProtection="0"/>
    <xf numFmtId="0" fontId="29" fillId="13" borderId="0" applyNumberFormat="0" applyBorder="0" applyAlignment="0" applyProtection="0"/>
    <xf numFmtId="213" fontId="29" fillId="13" borderId="0" applyNumberFormat="0" applyBorder="0" applyAlignment="0" applyProtection="0"/>
    <xf numFmtId="0" fontId="29" fillId="14" borderId="0" applyNumberFormat="0" applyBorder="0" applyAlignment="0" applyProtection="0"/>
    <xf numFmtId="213" fontId="29" fillId="14" borderId="0" applyNumberFormat="0" applyBorder="0" applyAlignment="0" applyProtection="0"/>
    <xf numFmtId="0" fontId="29" fillId="19" borderId="0" applyNumberFormat="0" applyBorder="0" applyAlignment="0" applyProtection="0"/>
    <xf numFmtId="213" fontId="29" fillId="19" borderId="0" applyNumberFormat="0" applyBorder="0" applyAlignment="0" applyProtection="0"/>
    <xf numFmtId="217" fontId="2" fillId="20" borderId="1">
      <alignment horizontal="center" vertical="center"/>
    </xf>
    <xf numFmtId="0" fontId="12" fillId="0" borderId="0"/>
    <xf numFmtId="0" fontId="2" fillId="0" borderId="0"/>
    <xf numFmtId="213" fontId="2" fillId="0" borderId="0"/>
    <xf numFmtId="0" fontId="2" fillId="0" borderId="0"/>
    <xf numFmtId="213" fontId="2" fillId="0" borderId="0"/>
    <xf numFmtId="213" fontId="12" fillId="0" borderId="0"/>
    <xf numFmtId="213" fontId="12" fillId="0" borderId="0"/>
    <xf numFmtId="213" fontId="12" fillId="0" borderId="0"/>
    <xf numFmtId="172" fontId="2" fillId="21" borderId="0" applyBorder="0" applyAlignment="0">
      <protection locked="0"/>
    </xf>
    <xf numFmtId="14" fontId="30" fillId="22" borderId="2" applyNumberFormat="0" applyFont="0" applyBorder="0" applyAlignment="0" applyProtection="0">
      <alignment horizontal="center" vertical="center"/>
    </xf>
    <xf numFmtId="0" fontId="2" fillId="0" borderId="0" applyNumberFormat="0" applyFont="0" applyFill="0" applyBorder="0" applyAlignment="0" applyProtection="0"/>
    <xf numFmtId="206" fontId="66" fillId="0" borderId="3"/>
    <xf numFmtId="0" fontId="31" fillId="3" borderId="0" applyNumberFormat="0" applyBorder="0" applyAlignment="0" applyProtection="0"/>
    <xf numFmtId="213" fontId="31" fillId="3" borderId="0" applyNumberFormat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8" fillId="23" borderId="0"/>
    <xf numFmtId="37" fontId="9" fillId="24" borderId="4">
      <alignment horizontal="left"/>
    </xf>
    <xf numFmtId="206" fontId="67" fillId="0" borderId="0">
      <alignment vertical="top"/>
    </xf>
    <xf numFmtId="37" fontId="30" fillId="24" borderId="5"/>
    <xf numFmtId="204" fontId="34" fillId="0" borderId="6"/>
    <xf numFmtId="204" fontId="2" fillId="0" borderId="6"/>
    <xf numFmtId="206" fontId="68" fillId="0" borderId="0">
      <alignment horizontal="left"/>
    </xf>
    <xf numFmtId="0" fontId="126" fillId="71" borderId="0" applyNumberFormat="0" applyBorder="0" applyAlignment="0" applyProtection="0"/>
    <xf numFmtId="0" fontId="2" fillId="24" borderId="7" applyNumberFormat="0" applyBorder="0"/>
    <xf numFmtId="0" fontId="42" fillId="4" borderId="0" applyNumberFormat="0" applyBorder="0" applyAlignment="0" applyProtection="0"/>
    <xf numFmtId="213" fontId="42" fillId="4" borderId="0" applyNumberFormat="0" applyBorder="0" applyAlignment="0" applyProtection="0"/>
    <xf numFmtId="14" fontId="30" fillId="25" borderId="8" applyBorder="0" applyAlignment="0">
      <alignment horizontal="center" vertical="center"/>
    </xf>
    <xf numFmtId="0" fontId="30" fillId="26" borderId="8" applyNumberFormat="0" applyBorder="0" applyAlignment="0">
      <alignment horizontal="center" vertical="center"/>
    </xf>
    <xf numFmtId="213" fontId="30" fillId="26" borderId="8" applyNumberFormat="0" applyBorder="0" applyAlignment="0">
      <alignment horizontal="center" vertical="center"/>
    </xf>
    <xf numFmtId="0" fontId="35" fillId="0" borderId="0" applyNumberFormat="0" applyFill="0" applyBorder="0" applyAlignment="0" applyProtection="0"/>
    <xf numFmtId="213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213" fontId="36" fillId="0" borderId="0" applyNumberFormat="0" applyFill="0" applyBorder="0" applyAlignment="0" applyProtection="0"/>
    <xf numFmtId="3" fontId="33" fillId="0" borderId="9">
      <alignment horizontal="center"/>
    </xf>
    <xf numFmtId="191" fontId="11" fillId="0" borderId="0"/>
    <xf numFmtId="0" fontId="37" fillId="27" borderId="10" applyNumberFormat="0" applyAlignment="0" applyProtection="0"/>
    <xf numFmtId="213" fontId="37" fillId="27" borderId="10" applyNumberFormat="0" applyAlignment="0" applyProtection="0"/>
    <xf numFmtId="0" fontId="127" fillId="72" borderId="54" applyNumberFormat="0" applyAlignment="0" applyProtection="0"/>
    <xf numFmtId="0" fontId="39" fillId="28" borderId="11" applyNumberFormat="0" applyAlignment="0" applyProtection="0"/>
    <xf numFmtId="213" fontId="39" fillId="28" borderId="11" applyNumberFormat="0" applyAlignment="0" applyProtection="0"/>
    <xf numFmtId="0" fontId="48" fillId="0" borderId="12" applyNumberFormat="0" applyFill="0" applyAlignment="0" applyProtection="0"/>
    <xf numFmtId="213" fontId="48" fillId="0" borderId="12" applyNumberFormat="0" applyFill="0" applyAlignment="0" applyProtection="0"/>
    <xf numFmtId="0" fontId="128" fillId="73" borderId="55" applyNumberFormat="0" applyAlignment="0" applyProtection="0"/>
    <xf numFmtId="0" fontId="129" fillId="0" borderId="56" applyNumberFormat="0" applyFill="0" applyAlignment="0" applyProtection="0"/>
    <xf numFmtId="0" fontId="38" fillId="0" borderId="0" applyNumberFormat="0" applyFont="0" applyFill="0" applyBorder="0" applyProtection="0">
      <alignment horizontal="center" vertical="center" wrapText="1"/>
    </xf>
    <xf numFmtId="213" fontId="38" fillId="0" borderId="0" applyNumberFormat="0" applyFont="0" applyFill="0" applyBorder="0" applyProtection="0">
      <alignment horizontal="center" vertical="center" wrapText="1"/>
    </xf>
    <xf numFmtId="0" fontId="39" fillId="28" borderId="11" applyNumberFormat="0" applyAlignment="0" applyProtection="0"/>
    <xf numFmtId="166" fontId="1" fillId="0" borderId="0" applyFont="0" applyFill="0" applyBorder="0" applyAlignment="0" applyProtection="0"/>
    <xf numFmtId="41" fontId="2" fillId="0" borderId="0" applyFont="0" applyFill="0" applyBorder="0" applyAlignment="0" applyProtection="0"/>
    <xf numFmtId="218" fontId="81" fillId="0" borderId="0" applyFont="0" applyFill="0" applyBorder="0" applyAlignment="0" applyProtection="0">
      <alignment horizontal="right"/>
    </xf>
    <xf numFmtId="219" fontId="81" fillId="0" borderId="0" applyFont="0" applyFill="0" applyBorder="0" applyAlignment="0" applyProtection="0">
      <alignment horizontal="right"/>
    </xf>
    <xf numFmtId="43" fontId="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0" fontId="82" fillId="0" borderId="0"/>
    <xf numFmtId="213" fontId="82" fillId="0" borderId="0"/>
    <xf numFmtId="0" fontId="83" fillId="0" borderId="0"/>
    <xf numFmtId="213" fontId="83" fillId="0" borderId="0"/>
    <xf numFmtId="0" fontId="82" fillId="0" borderId="0"/>
    <xf numFmtId="213" fontId="82" fillId="0" borderId="0"/>
    <xf numFmtId="0" fontId="82" fillId="0" borderId="0"/>
    <xf numFmtId="213" fontId="82" fillId="0" borderId="0"/>
    <xf numFmtId="0" fontId="83" fillId="0" borderId="0"/>
    <xf numFmtId="213" fontId="83" fillId="0" borderId="0"/>
    <xf numFmtId="0" fontId="82" fillId="0" borderId="0"/>
    <xf numFmtId="213" fontId="82" fillId="0" borderId="0"/>
    <xf numFmtId="43" fontId="2" fillId="29" borderId="0" applyNumberFormat="0" applyFont="0" applyBorder="0" applyAlignment="0" applyProtection="0"/>
    <xf numFmtId="177" fontId="1" fillId="0" borderId="0" applyFont="0" applyFill="0" applyBorder="0" applyAlignment="0" applyProtection="0"/>
    <xf numFmtId="177" fontId="2" fillId="0" borderId="0" applyFont="0" applyFill="0" applyBorder="0" applyAlignment="0" applyProtection="0"/>
    <xf numFmtId="220" fontId="84" fillId="29" borderId="0" applyFont="0" applyFill="0" applyBorder="0" applyAlignment="0" applyProtection="0"/>
    <xf numFmtId="221" fontId="81" fillId="0" borderId="0" applyFont="0" applyFill="0" applyBorder="0" applyAlignment="0" applyProtection="0">
      <alignment horizontal="right"/>
    </xf>
    <xf numFmtId="222" fontId="81" fillId="0" borderId="0" applyFont="0" applyFill="0" applyBorder="0" applyAlignment="0" applyProtection="0">
      <alignment horizontal="right"/>
    </xf>
    <xf numFmtId="167" fontId="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8" fillId="0" borderId="0" applyFont="0" applyFill="0" applyBorder="0" applyAlignment="0" applyProtection="0"/>
    <xf numFmtId="207" fontId="2" fillId="0" borderId="0" applyFont="0" applyFill="0" applyBorder="0" applyAlignment="0" applyProtection="0"/>
    <xf numFmtId="0" fontId="69" fillId="0" borderId="0">
      <protection locked="0"/>
    </xf>
    <xf numFmtId="213" fontId="69" fillId="0" borderId="0">
      <protection locked="0"/>
    </xf>
    <xf numFmtId="188" fontId="13" fillId="0" borderId="0">
      <protection locked="0"/>
    </xf>
    <xf numFmtId="0" fontId="82" fillId="0" borderId="0"/>
    <xf numFmtId="213" fontId="82" fillId="0" borderId="0"/>
    <xf numFmtId="223" fontId="81" fillId="0" borderId="0" applyFont="0" applyFill="0" applyBorder="0" applyAlignment="0" applyProtection="0"/>
    <xf numFmtId="190" fontId="4" fillId="0" borderId="0" applyFont="0" applyFill="0" applyBorder="0" applyAlignment="0" applyProtection="0"/>
    <xf numFmtId="37" fontId="14" fillId="30" borderId="13" applyNumberFormat="0" applyAlignment="0">
      <alignment horizontal="left"/>
    </xf>
    <xf numFmtId="185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0" fontId="2" fillId="0" borderId="0">
      <protection locked="0"/>
    </xf>
    <xf numFmtId="213" fontId="2" fillId="0" borderId="0">
      <protection locked="0"/>
    </xf>
    <xf numFmtId="224" fontId="81" fillId="0" borderId="14" applyNumberFormat="0" applyFont="0" applyFill="0" applyAlignment="0" applyProtection="0"/>
    <xf numFmtId="0" fontId="2" fillId="0" borderId="0">
      <protection locked="0"/>
    </xf>
    <xf numFmtId="213" fontId="2" fillId="0" borderId="0">
      <protection locked="0"/>
    </xf>
    <xf numFmtId="0" fontId="2" fillId="0" borderId="0">
      <protection locked="0"/>
    </xf>
    <xf numFmtId="213" fontId="2" fillId="0" borderId="0">
      <protection locked="0"/>
    </xf>
    <xf numFmtId="0" fontId="46" fillId="0" borderId="0" applyNumberFormat="0" applyFill="0" applyBorder="0" applyAlignment="0" applyProtection="0"/>
    <xf numFmtId="213" fontId="46" fillId="0" borderId="0" applyNumberFormat="0" applyFill="0" applyBorder="0" applyAlignment="0" applyProtection="0"/>
    <xf numFmtId="0" fontId="125" fillId="74" borderId="0" applyNumberFormat="0" applyBorder="0" applyAlignment="0" applyProtection="0"/>
    <xf numFmtId="0" fontId="125" fillId="75" borderId="0" applyNumberFormat="0" applyBorder="0" applyAlignment="0" applyProtection="0"/>
    <xf numFmtId="0" fontId="125" fillId="76" borderId="0" applyNumberFormat="0" applyBorder="0" applyAlignment="0" applyProtection="0"/>
    <xf numFmtId="0" fontId="125" fillId="77" borderId="0" applyNumberFormat="0" applyBorder="0" applyAlignment="0" applyProtection="0"/>
    <xf numFmtId="0" fontId="125" fillId="78" borderId="0" applyNumberFormat="0" applyBorder="0" applyAlignment="0" applyProtection="0"/>
    <xf numFmtId="0" fontId="125" fillId="79" borderId="0" applyNumberFormat="0" applyBorder="0" applyAlignment="0" applyProtection="0"/>
    <xf numFmtId="0" fontId="29" fillId="16" borderId="0" applyNumberFormat="0" applyBorder="0" applyAlignment="0" applyProtection="0"/>
    <xf numFmtId="213" fontId="29" fillId="16" borderId="0" applyNumberFormat="0" applyBorder="0" applyAlignment="0" applyProtection="0"/>
    <xf numFmtId="0" fontId="29" fillId="17" borderId="0" applyNumberFormat="0" applyBorder="0" applyAlignment="0" applyProtection="0"/>
    <xf numFmtId="213" fontId="29" fillId="17" borderId="0" applyNumberFormat="0" applyBorder="0" applyAlignment="0" applyProtection="0"/>
    <xf numFmtId="0" fontId="29" fillId="18" borderId="0" applyNumberFormat="0" applyBorder="0" applyAlignment="0" applyProtection="0"/>
    <xf numFmtId="213" fontId="29" fillId="18" borderId="0" applyNumberFormat="0" applyBorder="0" applyAlignment="0" applyProtection="0"/>
    <xf numFmtId="0" fontId="29" fillId="13" borderId="0" applyNumberFormat="0" applyBorder="0" applyAlignment="0" applyProtection="0"/>
    <xf numFmtId="213" fontId="29" fillId="13" borderId="0" applyNumberFormat="0" applyBorder="0" applyAlignment="0" applyProtection="0"/>
    <xf numFmtId="0" fontId="29" fillId="14" borderId="0" applyNumberFormat="0" applyBorder="0" applyAlignment="0" applyProtection="0"/>
    <xf numFmtId="213" fontId="29" fillId="14" borderId="0" applyNumberFormat="0" applyBorder="0" applyAlignment="0" applyProtection="0"/>
    <xf numFmtId="0" fontId="29" fillId="19" borderId="0" applyNumberFormat="0" applyBorder="0" applyAlignment="0" applyProtection="0"/>
    <xf numFmtId="213" fontId="29" fillId="19" borderId="0" applyNumberFormat="0" applyBorder="0" applyAlignment="0" applyProtection="0"/>
    <xf numFmtId="0" fontId="130" fillId="80" borderId="54" applyNumberFormat="0" applyAlignment="0" applyProtection="0"/>
    <xf numFmtId="168" fontId="3" fillId="0" borderId="15"/>
    <xf numFmtId="43" fontId="3" fillId="0" borderId="15"/>
    <xf numFmtId="0" fontId="12" fillId="0" borderId="0"/>
    <xf numFmtId="213" fontId="58" fillId="0" borderId="0" applyNumberFormat="0" applyFill="0" applyBorder="0" applyAlignment="0" applyProtection="0"/>
    <xf numFmtId="182" fontId="1" fillId="0" borderId="0" applyFont="0" applyFill="0" applyBorder="0" applyAlignment="0" applyProtection="0"/>
    <xf numFmtId="213" fontId="2" fillId="0" borderId="0" applyFont="0" applyFill="0" applyBorder="0" applyAlignment="0" applyProtection="0"/>
    <xf numFmtId="213" fontId="2" fillId="0" borderId="0" applyFont="0" applyFill="0" applyBorder="0" applyAlignment="0" applyProtection="0"/>
    <xf numFmtId="213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3" fontId="9" fillId="0" borderId="16" applyFill="0" applyBorder="0"/>
    <xf numFmtId="0" fontId="40" fillId="0" borderId="0" applyNumberFormat="0" applyFill="0" applyBorder="0" applyAlignment="0" applyProtection="0"/>
    <xf numFmtId="213" fontId="40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9" fillId="0" borderId="0">
      <protection locked="0"/>
    </xf>
    <xf numFmtId="213" fontId="2" fillId="0" borderId="0">
      <protection locked="0"/>
    </xf>
    <xf numFmtId="0" fontId="69" fillId="0" borderId="0">
      <protection locked="0"/>
    </xf>
    <xf numFmtId="213" fontId="2" fillId="0" borderId="0">
      <protection locked="0"/>
    </xf>
    <xf numFmtId="0" fontId="69" fillId="0" borderId="0">
      <protection locked="0"/>
    </xf>
    <xf numFmtId="213" fontId="2" fillId="0" borderId="0">
      <protection locked="0"/>
    </xf>
    <xf numFmtId="0" fontId="69" fillId="0" borderId="0">
      <protection locked="0"/>
    </xf>
    <xf numFmtId="213" fontId="2" fillId="0" borderId="0">
      <protection locked="0"/>
    </xf>
    <xf numFmtId="0" fontId="69" fillId="0" borderId="0">
      <protection locked="0"/>
    </xf>
    <xf numFmtId="213" fontId="2" fillId="0" borderId="0">
      <protection locked="0"/>
    </xf>
    <xf numFmtId="0" fontId="69" fillId="0" borderId="0">
      <protection locked="0"/>
    </xf>
    <xf numFmtId="213" fontId="2" fillId="0" borderId="0">
      <protection locked="0"/>
    </xf>
    <xf numFmtId="0" fontId="69" fillId="0" borderId="0">
      <protection locked="0"/>
    </xf>
    <xf numFmtId="213" fontId="2" fillId="0" borderId="0">
      <protection locked="0"/>
    </xf>
    <xf numFmtId="2" fontId="16" fillId="0" borderId="0" applyNumberFormat="0">
      <alignment vertical="center"/>
      <protection locked="0"/>
    </xf>
    <xf numFmtId="194" fontId="15" fillId="0" borderId="0"/>
    <xf numFmtId="0" fontId="41" fillId="0" borderId="0" applyFont="0" applyFill="0" applyBorder="0" applyAlignment="0" applyProtection="0"/>
    <xf numFmtId="213" fontId="38" fillId="0" borderId="0" applyFont="0" applyFill="0" applyBorder="0" applyAlignment="0" applyProtection="0"/>
    <xf numFmtId="0" fontId="38" fillId="0" borderId="0" applyFont="0" applyFill="0" applyBorder="0" applyAlignment="0" applyProtection="0"/>
    <xf numFmtId="2" fontId="41" fillId="0" borderId="0" applyFont="0" applyFill="0" applyBorder="0" applyAlignment="0" applyProtection="0"/>
    <xf numFmtId="2" fontId="38" fillId="0" borderId="0" applyFont="0" applyFill="0" applyBorder="0" applyAlignment="0" applyProtection="0"/>
    <xf numFmtId="0" fontId="2" fillId="0" borderId="0">
      <protection locked="0"/>
    </xf>
    <xf numFmtId="213" fontId="2" fillId="0" borderId="0">
      <protection locked="0"/>
    </xf>
    <xf numFmtId="1" fontId="3" fillId="0" borderId="17" applyNumberFormat="0" applyFont="0" applyFill="0" applyAlignment="0" applyProtection="0">
      <alignment vertical="center"/>
      <protection locked="0"/>
    </xf>
    <xf numFmtId="188" fontId="13" fillId="0" borderId="0">
      <protection locked="0"/>
    </xf>
    <xf numFmtId="225" fontId="69" fillId="0" borderId="0">
      <protection locked="0"/>
    </xf>
    <xf numFmtId="0" fontId="85" fillId="0" borderId="0" applyFill="0" applyBorder="0" applyProtection="0">
      <alignment horizontal="left"/>
    </xf>
    <xf numFmtId="213" fontId="85" fillId="0" borderId="0" applyFill="0" applyBorder="0" applyProtection="0">
      <alignment horizontal="left"/>
    </xf>
    <xf numFmtId="0" fontId="86" fillId="21" borderId="0" applyNumberFormat="0" applyFont="0" applyBorder="0" applyAlignment="0" applyProtection="0">
      <alignment horizontal="centerContinuous"/>
    </xf>
    <xf numFmtId="213" fontId="86" fillId="21" borderId="0" applyNumberFormat="0" applyFont="0" applyBorder="0" applyAlignment="0" applyProtection="0">
      <alignment horizontal="centerContinuous"/>
    </xf>
    <xf numFmtId="0" fontId="86" fillId="31" borderId="0" applyNumberFormat="0" applyFont="0" applyBorder="0" applyAlignment="0" applyProtection="0">
      <alignment horizontal="centerContinuous"/>
    </xf>
    <xf numFmtId="213" fontId="86" fillId="31" borderId="0" applyNumberFormat="0" applyFont="0" applyBorder="0" applyAlignment="0" applyProtection="0">
      <alignment horizontal="centerContinuous"/>
    </xf>
    <xf numFmtId="0" fontId="64" fillId="32" borderId="18" applyNumberFormat="0" applyFont="0" applyBorder="0" applyAlignment="0"/>
    <xf numFmtId="213" fontId="64" fillId="32" borderId="18" applyNumberFormat="0" applyFont="0" applyBorder="0" applyAlignment="0"/>
    <xf numFmtId="0" fontId="2" fillId="21" borderId="19" applyNumberFormat="0" applyFont="0" applyBorder="0" applyAlignment="0" applyProtection="0"/>
    <xf numFmtId="213" fontId="2" fillId="21" borderId="19" applyNumberFormat="0" applyFont="0" applyBorder="0" applyAlignment="0" applyProtection="0"/>
    <xf numFmtId="10" fontId="1" fillId="21" borderId="0" applyNumberFormat="0" applyFont="0" applyBorder="0" applyAlignment="0"/>
    <xf numFmtId="10" fontId="2" fillId="21" borderId="0" applyNumberFormat="0" applyFont="0" applyBorder="0" applyAlignment="0"/>
    <xf numFmtId="1" fontId="5" fillId="33" borderId="20" applyProtection="0">
      <alignment horizontal="left" vertical="center"/>
    </xf>
    <xf numFmtId="0" fontId="42" fillId="4" borderId="0" applyNumberFormat="0" applyBorder="0" applyAlignment="0" applyProtection="0"/>
    <xf numFmtId="1" fontId="17" fillId="0" borderId="21">
      <alignment horizontal="right" vertical="center"/>
      <protection locked="0"/>
    </xf>
    <xf numFmtId="0" fontId="43" fillId="0" borderId="0" applyNumberFormat="0" applyFill="0" applyBorder="0" applyAlignment="0" applyProtection="0"/>
    <xf numFmtId="38" fontId="3" fillId="32" borderId="0" applyNumberFormat="0" applyBorder="0" applyAlignment="0" applyProtection="0"/>
    <xf numFmtId="3" fontId="87" fillId="0" borderId="0">
      <alignment vertical="center"/>
    </xf>
    <xf numFmtId="226" fontId="81" fillId="0" borderId="0" applyFont="0" applyFill="0" applyBorder="0" applyAlignment="0" applyProtection="0">
      <alignment horizontal="right"/>
    </xf>
    <xf numFmtId="0" fontId="70" fillId="24" borderId="22"/>
    <xf numFmtId="213" fontId="88" fillId="0" borderId="0" applyProtection="0">
      <alignment horizontal="right"/>
    </xf>
    <xf numFmtId="0" fontId="79" fillId="0" borderId="21" applyNumberFormat="0" applyAlignment="0" applyProtection="0">
      <alignment horizontal="left" vertical="center"/>
    </xf>
    <xf numFmtId="213" fontId="79" fillId="0" borderId="21" applyNumberFormat="0" applyAlignment="0" applyProtection="0">
      <alignment horizontal="left" vertical="center"/>
    </xf>
    <xf numFmtId="0" fontId="79" fillId="0" borderId="23">
      <alignment horizontal="left" vertical="center"/>
    </xf>
    <xf numFmtId="213" fontId="79" fillId="0" borderId="23">
      <alignment horizontal="left" vertical="center"/>
    </xf>
    <xf numFmtId="37" fontId="2" fillId="24" borderId="0">
      <alignment horizontal="right"/>
    </xf>
    <xf numFmtId="0" fontId="44" fillId="0" borderId="24" applyNumberFormat="0" applyFill="0" applyAlignment="0" applyProtection="0"/>
    <xf numFmtId="213" fontId="44" fillId="0" borderId="24" applyNumberFormat="0" applyFill="0" applyAlignment="0" applyProtection="0"/>
    <xf numFmtId="0" fontId="45" fillId="0" borderId="25" applyNumberFormat="0" applyFill="0" applyAlignment="0" applyProtection="0"/>
    <xf numFmtId="213" fontId="89" fillId="0" borderId="0" applyProtection="0">
      <alignment horizontal="left"/>
    </xf>
    <xf numFmtId="0" fontId="46" fillId="0" borderId="26" applyNumberFormat="0" applyFill="0" applyAlignment="0" applyProtection="0"/>
    <xf numFmtId="213" fontId="90" fillId="0" borderId="0" applyProtection="0">
      <alignment horizontal="left"/>
    </xf>
    <xf numFmtId="0" fontId="46" fillId="0" borderId="0" applyNumberFormat="0" applyFill="0" applyBorder="0" applyAlignment="0" applyProtection="0"/>
    <xf numFmtId="213" fontId="46" fillId="0" borderId="0" applyNumberFormat="0" applyFill="0" applyBorder="0" applyAlignment="0" applyProtection="0"/>
    <xf numFmtId="188" fontId="18" fillId="0" borderId="0">
      <protection locked="0"/>
    </xf>
    <xf numFmtId="188" fontId="18" fillId="0" borderId="0">
      <protection locked="0"/>
    </xf>
    <xf numFmtId="0" fontId="33" fillId="0" borderId="27" applyNumberFormat="0" applyFill="0" applyAlignment="0" applyProtection="0"/>
    <xf numFmtId="213" fontId="33" fillId="0" borderId="27" applyNumberFormat="0" applyFill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131" fillId="0" borderId="0" applyNumberFormat="0" applyFill="0" applyBorder="0" applyAlignment="0" applyProtection="0"/>
    <xf numFmtId="0" fontId="4" fillId="0" borderId="15" applyBorder="0">
      <alignment horizontal="center"/>
    </xf>
    <xf numFmtId="183" fontId="19" fillId="0" borderId="0">
      <alignment horizontal="left"/>
    </xf>
    <xf numFmtId="0" fontId="31" fillId="3" borderId="0" applyNumberFormat="0" applyBorder="0" applyAlignment="0" applyProtection="0"/>
    <xf numFmtId="213" fontId="31" fillId="3" borderId="0" applyNumberFormat="0" applyBorder="0" applyAlignment="0" applyProtection="0"/>
    <xf numFmtId="0" fontId="132" fillId="81" borderId="0" applyNumberFormat="0" applyBorder="0" applyAlignment="0" applyProtection="0"/>
    <xf numFmtId="0" fontId="66" fillId="0" borderId="0"/>
    <xf numFmtId="213" fontId="66" fillId="0" borderId="0"/>
    <xf numFmtId="0" fontId="47" fillId="7" borderId="10" applyNumberFormat="0" applyAlignment="0" applyProtection="0"/>
    <xf numFmtId="10" fontId="3" fillId="21" borderId="9" applyNumberFormat="0" applyBorder="0" applyAlignment="0" applyProtection="0"/>
    <xf numFmtId="3" fontId="91" fillId="0" borderId="28" applyNumberFormat="0" applyFont="0" applyFill="0" applyAlignment="0">
      <alignment horizontal="center" vertical="top"/>
      <protection locked="0"/>
    </xf>
    <xf numFmtId="179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0" fontId="48" fillId="0" borderId="12" applyNumberFormat="0" applyFill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22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228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229" fontId="2" fillId="0" borderId="0" applyFont="0" applyFill="0" applyBorder="0" applyAlignment="0" applyProtection="0"/>
    <xf numFmtId="3" fontId="92" fillId="0" borderId="29" applyFill="0" applyBorder="0" applyAlignment="0">
      <alignment horizontal="center"/>
    </xf>
    <xf numFmtId="230" fontId="2" fillId="0" borderId="0" applyFont="0" applyFill="0" applyBorder="0" applyAlignment="0" applyProtection="0"/>
    <xf numFmtId="231" fontId="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" fillId="0" borderId="0" applyFont="0" applyFill="0" applyBorder="0" applyAlignment="0" applyProtection="0"/>
    <xf numFmtId="44" fontId="60" fillId="0" borderId="0" applyFont="0" applyFill="0" applyBorder="0" applyAlignment="0" applyProtection="0"/>
    <xf numFmtId="165" fontId="116" fillId="0" borderId="0" applyFont="0" applyFill="0" applyBorder="0" applyAlignment="0" applyProtection="0"/>
    <xf numFmtId="232" fontId="2" fillId="0" borderId="0" applyFont="0" applyFill="0" applyBorder="0" applyAlignment="0" applyProtection="0"/>
    <xf numFmtId="233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2" fillId="0" borderId="0">
      <protection locked="0"/>
    </xf>
    <xf numFmtId="213" fontId="2" fillId="0" borderId="0">
      <protection locked="0"/>
    </xf>
    <xf numFmtId="193" fontId="1" fillId="0" borderId="0" applyFont="0" applyFill="0" applyBorder="0" applyAlignment="0" applyProtection="0"/>
    <xf numFmtId="193" fontId="2" fillId="0" borderId="0" applyFont="0" applyFill="0" applyBorder="0" applyAlignment="0" applyProtection="0"/>
    <xf numFmtId="234" fontId="81" fillId="0" borderId="0" applyFont="0" applyFill="0" applyBorder="0" applyAlignment="0" applyProtection="0">
      <alignment horizontal="right"/>
    </xf>
    <xf numFmtId="201" fontId="1" fillId="0" borderId="0" applyFont="0" applyFill="0" applyBorder="0" applyAlignment="0" applyProtection="0"/>
    <xf numFmtId="201" fontId="2" fillId="0" borderId="0" applyFont="0" applyFill="0" applyBorder="0" applyAlignment="0" applyProtection="0"/>
    <xf numFmtId="200" fontId="1" fillId="0" borderId="0" applyFont="0" applyFill="0" applyBorder="0" applyAlignment="0" applyProtection="0"/>
    <xf numFmtId="200" fontId="2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2" fillId="0" borderId="0" applyFont="0" applyFill="0" applyBorder="0" applyAlignment="0" applyProtection="0"/>
    <xf numFmtId="0" fontId="133" fillId="82" borderId="0" applyNumberFormat="0" applyBorder="0" applyAlignment="0" applyProtection="0"/>
    <xf numFmtId="0" fontId="49" fillId="34" borderId="0" applyNumberFormat="0" applyBorder="0" applyAlignment="0" applyProtection="0"/>
    <xf numFmtId="39" fontId="71" fillId="0" borderId="0" applyNumberFormat="0">
      <alignment horizontal="left"/>
    </xf>
    <xf numFmtId="0" fontId="71" fillId="0" borderId="0" applyNumberFormat="0"/>
    <xf numFmtId="39" fontId="72" fillId="0" borderId="0" applyNumberFormat="0">
      <alignment horizontal="left" indent="2"/>
    </xf>
    <xf numFmtId="37" fontId="93" fillId="0" borderId="0"/>
    <xf numFmtId="0" fontId="20" fillId="0" borderId="0"/>
    <xf numFmtId="1" fontId="21" fillId="0" borderId="20">
      <alignment horizontal="left" vertical="center"/>
      <protection locked="0"/>
    </xf>
    <xf numFmtId="0" fontId="10" fillId="0" borderId="0"/>
    <xf numFmtId="213" fontId="10" fillId="0" borderId="0"/>
    <xf numFmtId="0" fontId="10" fillId="0" borderId="0"/>
    <xf numFmtId="213" fontId="10" fillId="0" borderId="0"/>
    <xf numFmtId="0" fontId="10" fillId="0" borderId="0"/>
    <xf numFmtId="213" fontId="10" fillId="0" borderId="0"/>
    <xf numFmtId="0" fontId="10" fillId="0" borderId="0"/>
    <xf numFmtId="213" fontId="10" fillId="0" borderId="0"/>
    <xf numFmtId="0" fontId="10" fillId="0" borderId="0"/>
    <xf numFmtId="213" fontId="10" fillId="0" borderId="0"/>
    <xf numFmtId="0" fontId="10" fillId="0" borderId="0"/>
    <xf numFmtId="213" fontId="10" fillId="0" borderId="0"/>
    <xf numFmtId="0" fontId="10" fillId="0" borderId="0"/>
    <xf numFmtId="213" fontId="10" fillId="0" borderId="0"/>
    <xf numFmtId="0" fontId="10" fillId="0" borderId="0"/>
    <xf numFmtId="213" fontId="10" fillId="0" borderId="0"/>
    <xf numFmtId="0" fontId="82" fillId="0" borderId="0"/>
    <xf numFmtId="213" fontId="82" fillId="0" borderId="0"/>
    <xf numFmtId="0" fontId="82" fillId="0" borderId="0"/>
    <xf numFmtId="213" fontId="82" fillId="0" borderId="0"/>
    <xf numFmtId="0" fontId="82" fillId="0" borderId="0"/>
    <xf numFmtId="213" fontId="82" fillId="0" borderId="0"/>
    <xf numFmtId="0" fontId="82" fillId="0" borderId="0"/>
    <xf numFmtId="213" fontId="82" fillId="0" borderId="0"/>
    <xf numFmtId="235" fontId="94" fillId="0" borderId="0"/>
    <xf numFmtId="236" fontId="95" fillId="0" borderId="0"/>
    <xf numFmtId="237" fontId="95" fillId="0" borderId="0"/>
    <xf numFmtId="0" fontId="123" fillId="0" borderId="0"/>
    <xf numFmtId="0" fontId="123" fillId="0" borderId="0"/>
    <xf numFmtId="213" fontId="123" fillId="0" borderId="0"/>
    <xf numFmtId="213" fontId="28" fillId="0" borderId="0"/>
    <xf numFmtId="213" fontId="28" fillId="0" borderId="0"/>
    <xf numFmtId="213" fontId="123" fillId="0" borderId="0"/>
    <xf numFmtId="213" fontId="28" fillId="0" borderId="0"/>
    <xf numFmtId="213" fontId="28" fillId="0" borderId="0"/>
    <xf numFmtId="0" fontId="123" fillId="0" borderId="0"/>
    <xf numFmtId="0" fontId="123" fillId="0" borderId="0"/>
    <xf numFmtId="213" fontId="123" fillId="0" borderId="0"/>
    <xf numFmtId="213" fontId="28" fillId="0" borderId="0"/>
    <xf numFmtId="213" fontId="28" fillId="0" borderId="0"/>
    <xf numFmtId="213" fontId="123" fillId="0" borderId="0"/>
    <xf numFmtId="213" fontId="28" fillId="0" borderId="0"/>
    <xf numFmtId="213" fontId="28" fillId="0" borderId="0"/>
    <xf numFmtId="0" fontId="123" fillId="0" borderId="0"/>
    <xf numFmtId="213" fontId="123" fillId="0" borderId="0"/>
    <xf numFmtId="213" fontId="28" fillId="0" borderId="0"/>
    <xf numFmtId="213" fontId="28" fillId="0" borderId="0"/>
    <xf numFmtId="0" fontId="2" fillId="0" borderId="0"/>
    <xf numFmtId="0" fontId="2" fillId="0" borderId="0"/>
    <xf numFmtId="213" fontId="2" fillId="0" borderId="0"/>
    <xf numFmtId="213" fontId="2" fillId="0" borderId="0"/>
    <xf numFmtId="0" fontId="2" fillId="0" borderId="0"/>
    <xf numFmtId="0" fontId="2" fillId="0" borderId="0"/>
    <xf numFmtId="0" fontId="2" fillId="0" borderId="0"/>
    <xf numFmtId="213" fontId="2" fillId="0" borderId="0"/>
    <xf numFmtId="213" fontId="123" fillId="0" borderId="0"/>
    <xf numFmtId="0" fontId="123" fillId="0" borderId="0"/>
    <xf numFmtId="213" fontId="123" fillId="0" borderId="0"/>
    <xf numFmtId="0" fontId="123" fillId="0" borderId="0"/>
    <xf numFmtId="0" fontId="28" fillId="0" borderId="0"/>
    <xf numFmtId="0" fontId="28" fillId="0" borderId="0"/>
    <xf numFmtId="213" fontId="123" fillId="0" borderId="0"/>
    <xf numFmtId="213" fontId="123" fillId="0" borderId="0"/>
    <xf numFmtId="213" fontId="123" fillId="0" borderId="0"/>
    <xf numFmtId="0" fontId="2" fillId="0" borderId="0"/>
    <xf numFmtId="0" fontId="23" fillId="0" borderId="0"/>
    <xf numFmtId="213" fontId="96" fillId="0" borderId="0"/>
    <xf numFmtId="0" fontId="2" fillId="0" borderId="0"/>
    <xf numFmtId="182" fontId="2" fillId="0" borderId="0"/>
    <xf numFmtId="0" fontId="2" fillId="0" borderId="0"/>
    <xf numFmtId="213" fontId="2" fillId="0" borderId="0"/>
    <xf numFmtId="213" fontId="2" fillId="0" borderId="0"/>
    <xf numFmtId="213" fontId="123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134" fillId="0" borderId="0" applyNumberFormat="0" applyBorder="0" applyProtection="0"/>
    <xf numFmtId="213" fontId="96" fillId="0" borderId="0"/>
    <xf numFmtId="0" fontId="96" fillId="0" borderId="0"/>
    <xf numFmtId="213" fontId="123" fillId="0" borderId="0"/>
    <xf numFmtId="213" fontId="28" fillId="0" borderId="0"/>
    <xf numFmtId="213" fontId="28" fillId="0" borderId="0"/>
    <xf numFmtId="0" fontId="123" fillId="0" borderId="0"/>
    <xf numFmtId="0" fontId="2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23" fillId="0" borderId="0"/>
    <xf numFmtId="0" fontId="2" fillId="0" borderId="0"/>
    <xf numFmtId="213" fontId="2" fillId="0" borderId="0"/>
    <xf numFmtId="213" fontId="2" fillId="0" borderId="0"/>
    <xf numFmtId="0" fontId="2" fillId="0" borderId="0"/>
    <xf numFmtId="0" fontId="123" fillId="0" borderId="0"/>
    <xf numFmtId="0" fontId="2" fillId="0" borderId="0"/>
    <xf numFmtId="213" fontId="2" fillId="0" borderId="0"/>
    <xf numFmtId="0" fontId="96" fillId="0" borderId="0"/>
    <xf numFmtId="213" fontId="96" fillId="0" borderId="0"/>
    <xf numFmtId="213" fontId="2" fillId="0" borderId="0"/>
    <xf numFmtId="0" fontId="2" fillId="0" borderId="0"/>
    <xf numFmtId="0" fontId="135" fillId="0" borderId="0" applyNumberFormat="0" applyBorder="0" applyProtection="0"/>
    <xf numFmtId="0" fontId="97" fillId="0" borderId="0"/>
    <xf numFmtId="213" fontId="97" fillId="0" borderId="0"/>
    <xf numFmtId="213" fontId="97" fillId="0" borderId="0"/>
    <xf numFmtId="0" fontId="123" fillId="0" borderId="0"/>
    <xf numFmtId="0" fontId="123" fillId="0" borderId="0"/>
    <xf numFmtId="0" fontId="2" fillId="0" borderId="0"/>
    <xf numFmtId="0" fontId="2" fillId="0" borderId="0"/>
    <xf numFmtId="213" fontId="2" fillId="0" borderId="0"/>
    <xf numFmtId="213" fontId="2" fillId="0" borderId="0"/>
    <xf numFmtId="0" fontId="123" fillId="0" borderId="0"/>
    <xf numFmtId="0" fontId="123" fillId="0" borderId="0"/>
    <xf numFmtId="213" fontId="123" fillId="0" borderId="0"/>
    <xf numFmtId="213" fontId="28" fillId="0" borderId="0"/>
    <xf numFmtId="213" fontId="28" fillId="0" borderId="0"/>
    <xf numFmtId="0" fontId="123" fillId="0" borderId="0"/>
    <xf numFmtId="0" fontId="123" fillId="0" borderId="0"/>
    <xf numFmtId="0" fontId="123" fillId="0" borderId="0"/>
    <xf numFmtId="213" fontId="123" fillId="0" borderId="0"/>
    <xf numFmtId="213" fontId="28" fillId="0" borderId="0"/>
    <xf numFmtId="213" fontId="28" fillId="0" borderId="0"/>
    <xf numFmtId="213" fontId="123" fillId="0" borderId="0"/>
    <xf numFmtId="213" fontId="28" fillId="0" borderId="0"/>
    <xf numFmtId="213" fontId="28" fillId="0" borderId="0"/>
    <xf numFmtId="0" fontId="123" fillId="0" borderId="0"/>
    <xf numFmtId="0" fontId="123" fillId="0" borderId="0"/>
    <xf numFmtId="213" fontId="123" fillId="0" borderId="0"/>
    <xf numFmtId="213" fontId="28" fillId="0" borderId="0"/>
    <xf numFmtId="213" fontId="28" fillId="0" borderId="0"/>
    <xf numFmtId="213" fontId="123" fillId="0" borderId="0"/>
    <xf numFmtId="213" fontId="28" fillId="0" borderId="0"/>
    <xf numFmtId="213" fontId="28" fillId="0" borderId="0"/>
    <xf numFmtId="213" fontId="123" fillId="0" borderId="0"/>
    <xf numFmtId="213" fontId="28" fillId="0" borderId="0"/>
    <xf numFmtId="213" fontId="28" fillId="0" borderId="0"/>
    <xf numFmtId="0" fontId="1" fillId="0" borderId="0"/>
    <xf numFmtId="0" fontId="3" fillId="0" borderId="0"/>
    <xf numFmtId="37" fontId="10" fillId="0" borderId="0"/>
    <xf numFmtId="0" fontId="22" fillId="0" borderId="0"/>
    <xf numFmtId="0" fontId="8" fillId="0" borderId="0"/>
    <xf numFmtId="0" fontId="23" fillId="0" borderId="0"/>
    <xf numFmtId="0" fontId="60" fillId="83" borderId="57" applyNumberFormat="0" applyFont="0" applyAlignment="0" applyProtection="0"/>
    <xf numFmtId="213" fontId="28" fillId="83" borderId="57" applyNumberFormat="0" applyFont="0" applyAlignment="0" applyProtection="0"/>
    <xf numFmtId="213" fontId="28" fillId="35" borderId="30" applyNumberFormat="0" applyFont="0" applyAlignment="0" applyProtection="0"/>
    <xf numFmtId="213" fontId="28" fillId="35" borderId="30" applyNumberFormat="0" applyFont="0" applyAlignment="0" applyProtection="0"/>
    <xf numFmtId="0" fontId="78" fillId="83" borderId="57" applyNumberFormat="0" applyFont="0" applyAlignment="0" applyProtection="0"/>
    <xf numFmtId="0" fontId="2" fillId="35" borderId="30" applyNumberFormat="0" applyFont="0" applyAlignment="0" applyProtection="0"/>
    <xf numFmtId="213" fontId="2" fillId="35" borderId="30" applyNumberFormat="0" applyFont="0" applyAlignment="0" applyProtection="0"/>
    <xf numFmtId="0" fontId="1" fillId="35" borderId="30" applyNumberFormat="0" applyFont="0" applyAlignment="0" applyProtection="0"/>
    <xf numFmtId="0" fontId="2" fillId="35" borderId="30" applyNumberFormat="0" applyFont="0" applyAlignment="0" applyProtection="0"/>
    <xf numFmtId="195" fontId="1" fillId="0" borderId="0" applyFont="0" applyFill="0" applyBorder="0" applyAlignment="0" applyProtection="0"/>
    <xf numFmtId="195" fontId="2" fillId="0" borderId="0" applyFont="0" applyFill="0" applyBorder="0" applyAlignment="0" applyProtection="0"/>
    <xf numFmtId="199" fontId="1" fillId="0" borderId="0" applyFont="0" applyFill="0" applyBorder="0" applyAlignment="0" applyProtection="0"/>
    <xf numFmtId="199" fontId="2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2" fillId="0" borderId="0" applyFont="0" applyFill="0" applyBorder="0" applyAlignment="0" applyProtection="0"/>
    <xf numFmtId="2" fontId="3" fillId="0" borderId="0">
      <alignment vertical="center"/>
      <protection locked="0"/>
    </xf>
    <xf numFmtId="181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0" fontId="50" fillId="27" borderId="31" applyNumberFormat="0" applyAlignment="0" applyProtection="0"/>
    <xf numFmtId="213" fontId="50" fillId="27" borderId="31" applyNumberFormat="0" applyAlignment="0" applyProtection="0"/>
    <xf numFmtId="40" fontId="98" fillId="23" borderId="0">
      <alignment horizontal="right"/>
    </xf>
    <xf numFmtId="0" fontId="99" fillId="23" borderId="0">
      <alignment horizontal="right"/>
    </xf>
    <xf numFmtId="213" fontId="99" fillId="23" borderId="0">
      <alignment horizontal="right"/>
    </xf>
    <xf numFmtId="0" fontId="100" fillId="23" borderId="32"/>
    <xf numFmtId="213" fontId="100" fillId="23" borderId="32"/>
    <xf numFmtId="0" fontId="100" fillId="0" borderId="0" applyBorder="0">
      <alignment horizontal="centerContinuous"/>
    </xf>
    <xf numFmtId="213" fontId="100" fillId="0" borderId="0" applyBorder="0">
      <alignment horizontal="centerContinuous"/>
    </xf>
    <xf numFmtId="0" fontId="101" fillId="0" borderId="0" applyBorder="0">
      <alignment horizontal="centerContinuous"/>
    </xf>
    <xf numFmtId="213" fontId="101" fillId="0" borderId="0" applyBorder="0">
      <alignment horizontal="centerContinuous"/>
    </xf>
    <xf numFmtId="0" fontId="73" fillId="0" borderId="0" applyFill="0">
      <alignment vertical="center"/>
    </xf>
    <xf numFmtId="1" fontId="102" fillId="0" borderId="0" applyProtection="0">
      <alignment horizontal="right" vertical="center"/>
    </xf>
    <xf numFmtId="0" fontId="6" fillId="0" borderId="0">
      <alignment horizontal="center"/>
    </xf>
    <xf numFmtId="0" fontId="3" fillId="0" borderId="0">
      <alignment horizontal="center"/>
    </xf>
    <xf numFmtId="0" fontId="82" fillId="0" borderId="0"/>
    <xf numFmtId="213" fontId="82" fillId="0" borderId="0"/>
    <xf numFmtId="196" fontId="1" fillId="0" borderId="0" applyFont="0" applyFill="0" applyBorder="0" applyAlignment="0" applyProtection="0"/>
    <xf numFmtId="196" fontId="2" fillId="0" borderId="0" applyFont="0" applyFill="0" applyBorder="0" applyAlignment="0" applyProtection="0"/>
    <xf numFmtId="198" fontId="1" fillId="0" borderId="0" applyFont="0" applyFill="0" applyBorder="0" applyAlignment="0" applyProtection="0"/>
    <xf numFmtId="198" fontId="2" fillId="0" borderId="0" applyFont="0" applyFill="0" applyBorder="0" applyAlignment="0" applyProtection="0"/>
    <xf numFmtId="197" fontId="1" fillId="0" borderId="0" applyFont="0" applyFill="0" applyBorder="0" applyAlignment="0" applyProtection="0"/>
    <xf numFmtId="197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2" fillId="0" borderId="0" applyFont="0" applyFill="0" applyBorder="0" applyAlignment="0" applyProtection="0"/>
    <xf numFmtId="0" fontId="2" fillId="0" borderId="0"/>
    <xf numFmtId="213" fontId="2" fillId="0" borderId="0"/>
    <xf numFmtId="238" fontId="69" fillId="0" borderId="0">
      <protection locked="0"/>
    </xf>
    <xf numFmtId="0" fontId="1" fillId="0" borderId="33">
      <alignment horizontal="left" wrapText="1" indent="2"/>
    </xf>
    <xf numFmtId="0" fontId="2" fillId="0" borderId="33">
      <alignment horizontal="left" wrapText="1" indent="2"/>
    </xf>
    <xf numFmtId="168" fontId="3" fillId="0" borderId="15" applyFill="0" applyBorder="0" applyAlignment="0" applyProtection="0"/>
    <xf numFmtId="239" fontId="69" fillId="0" borderId="0">
      <protection locked="0"/>
    </xf>
    <xf numFmtId="9" fontId="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" fillId="0" borderId="0">
      <protection locked="0"/>
    </xf>
    <xf numFmtId="213" fontId="2" fillId="0" borderId="0">
      <protection locked="0"/>
    </xf>
    <xf numFmtId="9" fontId="38" fillId="0" borderId="0" applyFont="0" applyFill="0" applyBorder="0" applyAlignment="0" applyProtection="0"/>
    <xf numFmtId="9" fontId="2" fillId="0" borderId="0" applyFont="0" applyFill="0" applyBorder="0" applyAlignment="0" applyProtection="0"/>
    <xf numFmtId="10" fontId="38" fillId="0" borderId="0" applyFont="0" applyFill="0" applyBorder="0" applyAlignment="0" applyProtection="0"/>
    <xf numFmtId="0" fontId="9" fillId="20" borderId="2" applyNumberFormat="0" applyFont="0" applyBorder="0" applyAlignment="0" applyProtection="0"/>
    <xf numFmtId="213" fontId="9" fillId="20" borderId="2" applyNumberFormat="0" applyFont="0" applyBorder="0" applyAlignment="0" applyProtection="0"/>
    <xf numFmtId="14" fontId="30" fillId="36" borderId="27" applyNumberFormat="0" applyFont="0" applyBorder="0" applyAlignment="0" applyProtection="0">
      <alignment horizontal="center" vertical="center"/>
    </xf>
    <xf numFmtId="0" fontId="23" fillId="0" borderId="0" applyNumberFormat="0" applyFont="0" applyFill="0" applyBorder="0" applyAlignment="0" applyProtection="0">
      <alignment horizontal="left"/>
    </xf>
    <xf numFmtId="213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52" fillId="0" borderId="34">
      <alignment horizontal="center"/>
    </xf>
    <xf numFmtId="213" fontId="52" fillId="0" borderId="34">
      <alignment horizontal="center"/>
    </xf>
    <xf numFmtId="3" fontId="23" fillId="0" borderId="0" applyFont="0" applyFill="0" applyBorder="0" applyAlignment="0" applyProtection="0"/>
    <xf numFmtId="0" fontId="23" fillId="37" borderId="0" applyNumberFormat="0" applyFont="0" applyBorder="0" applyAlignment="0" applyProtection="0"/>
    <xf numFmtId="213" fontId="23" fillId="37" borderId="0" applyNumberFormat="0" applyFont="0" applyBorder="0" applyAlignment="0" applyProtection="0"/>
    <xf numFmtId="3" fontId="51" fillId="0" borderId="0" applyFont="0" applyFill="0" applyBorder="0" applyAlignment="0" applyProtection="0"/>
    <xf numFmtId="0" fontId="4" fillId="0" borderId="0" applyNumberFormat="0" applyFill="0" applyBorder="0" applyAlignment="0" applyProtection="0"/>
    <xf numFmtId="4" fontId="24" fillId="29" borderId="35" applyBorder="0" applyProtection="0"/>
    <xf numFmtId="38" fontId="2" fillId="0" borderId="0"/>
    <xf numFmtId="0" fontId="103" fillId="23" borderId="30" applyNumberFormat="0" applyFont="0" applyAlignment="0" applyProtection="0">
      <alignment horizontal="left"/>
    </xf>
    <xf numFmtId="213" fontId="103" fillId="23" borderId="30" applyNumberFormat="0" applyFont="0" applyAlignment="0" applyProtection="0">
      <alignment horizontal="left"/>
    </xf>
    <xf numFmtId="204" fontId="68" fillId="0" borderId="0"/>
    <xf numFmtId="0" fontId="52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136" fillId="72" borderId="58" applyNumberFormat="0" applyAlignment="0" applyProtection="0"/>
    <xf numFmtId="0" fontId="50" fillId="27" borderId="31" applyNumberFormat="0" applyAlignment="0" applyProtection="0"/>
    <xf numFmtId="213" fontId="50" fillId="27" borderId="31" applyNumberFormat="0" applyAlignment="0" applyProtection="0"/>
    <xf numFmtId="4" fontId="104" fillId="29" borderId="36" applyNumberFormat="0" applyProtection="0">
      <alignment vertical="center"/>
    </xf>
    <xf numFmtId="4" fontId="105" fillId="29" borderId="36" applyNumberFormat="0" applyProtection="0">
      <alignment vertical="center"/>
    </xf>
    <xf numFmtId="4" fontId="106" fillId="29" borderId="36" applyNumberFormat="0" applyProtection="0">
      <alignment horizontal="left" vertical="center" indent="1"/>
    </xf>
    <xf numFmtId="4" fontId="106" fillId="29" borderId="36" applyNumberFormat="0" applyProtection="0">
      <alignment horizontal="left" vertical="center" indent="1"/>
    </xf>
    <xf numFmtId="0" fontId="65" fillId="0" borderId="36" applyNumberFormat="0" applyProtection="0">
      <alignment horizontal="left" vertical="top" indent="1"/>
    </xf>
    <xf numFmtId="213" fontId="65" fillId="0" borderId="36" applyNumberFormat="0" applyProtection="0">
      <alignment horizontal="left" vertical="top" indent="1"/>
    </xf>
    <xf numFmtId="213" fontId="65" fillId="0" borderId="36" applyNumberFormat="0" applyProtection="0">
      <alignment horizontal="left" vertical="top"/>
    </xf>
    <xf numFmtId="213" fontId="65" fillId="0" borderId="36" applyNumberFormat="0" applyProtection="0">
      <alignment horizontal="left" vertical="top"/>
    </xf>
    <xf numFmtId="4" fontId="106" fillId="38" borderId="0" applyNumberFormat="0" applyProtection="0">
      <alignment horizontal="left" vertical="center" indent="1"/>
    </xf>
    <xf numFmtId="4" fontId="106" fillId="38" borderId="0" applyNumberFormat="0" applyProtection="0">
      <alignment horizontal="left" vertical="center" indent="1"/>
    </xf>
    <xf numFmtId="4" fontId="106" fillId="39" borderId="36" applyNumberFormat="0" applyProtection="0">
      <alignment horizontal="right" vertical="center"/>
    </xf>
    <xf numFmtId="4" fontId="106" fillId="40" borderId="36" applyNumberFormat="0" applyProtection="0">
      <alignment horizontal="right" vertical="center"/>
    </xf>
    <xf numFmtId="4" fontId="106" fillId="41" borderId="36" applyNumberFormat="0" applyProtection="0">
      <alignment horizontal="right" vertical="center"/>
    </xf>
    <xf numFmtId="4" fontId="106" fillId="22" borderId="36" applyNumberFormat="0" applyProtection="0">
      <alignment horizontal="right" vertical="center"/>
    </xf>
    <xf numFmtId="4" fontId="106" fillId="42" borderId="36" applyNumberFormat="0" applyProtection="0">
      <alignment horizontal="right" vertical="center"/>
    </xf>
    <xf numFmtId="4" fontId="106" fillId="43" borderId="36" applyNumberFormat="0" applyProtection="0">
      <alignment horizontal="right" vertical="center"/>
    </xf>
    <xf numFmtId="4" fontId="106" fillId="44" borderId="36" applyNumberFormat="0" applyProtection="0">
      <alignment horizontal="right" vertical="center"/>
    </xf>
    <xf numFmtId="4" fontId="106" fillId="45" borderId="36" applyNumberFormat="0" applyProtection="0">
      <alignment horizontal="right" vertical="center"/>
    </xf>
    <xf numFmtId="4" fontId="106" fillId="46" borderId="36" applyNumberFormat="0" applyProtection="0">
      <alignment horizontal="right" vertical="center"/>
    </xf>
    <xf numFmtId="4" fontId="104" fillId="47" borderId="37" applyNumberFormat="0" applyProtection="0">
      <alignment horizontal="left" vertical="center" indent="1"/>
    </xf>
    <xf numFmtId="4" fontId="104" fillId="47" borderId="37" applyNumberFormat="0" applyProtection="0">
      <alignment horizontal="left" vertical="center" indent="1"/>
    </xf>
    <xf numFmtId="4" fontId="104" fillId="20" borderId="0" applyNumberFormat="0" applyProtection="0">
      <alignment horizontal="left" vertical="center" indent="1"/>
    </xf>
    <xf numFmtId="4" fontId="104" fillId="20" borderId="0" applyNumberFormat="0" applyProtection="0">
      <alignment horizontal="left" vertical="center" indent="1"/>
    </xf>
    <xf numFmtId="4" fontId="104" fillId="38" borderId="0" applyNumberFormat="0" applyProtection="0">
      <alignment horizontal="left" vertical="center" indent="1"/>
    </xf>
    <xf numFmtId="4" fontId="104" fillId="38" borderId="0" applyNumberFormat="0" applyProtection="0">
      <alignment horizontal="left" vertical="center" indent="1"/>
    </xf>
    <xf numFmtId="4" fontId="106" fillId="20" borderId="36" applyNumberFormat="0" applyProtection="0">
      <alignment horizontal="right" vertical="center"/>
    </xf>
    <xf numFmtId="4" fontId="32" fillId="20" borderId="0" applyNumberFormat="0" applyProtection="0">
      <alignment horizontal="left" vertical="center" indent="1"/>
    </xf>
    <xf numFmtId="4" fontId="32" fillId="20" borderId="0" applyNumberFormat="0" applyProtection="0">
      <alignment horizontal="left" vertical="center" indent="1"/>
    </xf>
    <xf numFmtId="4" fontId="32" fillId="38" borderId="0" applyNumberFormat="0" applyProtection="0">
      <alignment horizontal="left" vertical="center" indent="1"/>
    </xf>
    <xf numFmtId="4" fontId="32" fillId="38" borderId="0" applyNumberFormat="0" applyProtection="0">
      <alignment horizontal="left" vertical="center" indent="1"/>
    </xf>
    <xf numFmtId="0" fontId="2" fillId="0" borderId="9" applyNumberFormat="0" applyProtection="0">
      <alignment horizontal="left" vertical="center" indent="1"/>
    </xf>
    <xf numFmtId="213" fontId="2" fillId="0" borderId="9" applyNumberFormat="0" applyProtection="0">
      <alignment horizontal="left" vertical="center" indent="1"/>
    </xf>
    <xf numFmtId="213" fontId="2" fillId="0" borderId="9" applyNumberFormat="0" applyProtection="0">
      <alignment horizontal="left" vertical="center"/>
    </xf>
    <xf numFmtId="213" fontId="2" fillId="0" borderId="9" applyNumberFormat="0" applyProtection="0">
      <alignment horizontal="left" vertical="center"/>
    </xf>
    <xf numFmtId="0" fontId="2" fillId="38" borderId="36" applyNumberFormat="0" applyProtection="0">
      <alignment horizontal="left" vertical="top" indent="1"/>
    </xf>
    <xf numFmtId="213" fontId="2" fillId="38" borderId="36" applyNumberFormat="0" applyProtection="0">
      <alignment horizontal="left" vertical="top" indent="1"/>
    </xf>
    <xf numFmtId="213" fontId="2" fillId="38" borderId="36" applyNumberFormat="0" applyProtection="0">
      <alignment horizontal="left" vertical="top"/>
    </xf>
    <xf numFmtId="213" fontId="2" fillId="38" borderId="36" applyNumberFormat="0" applyProtection="0">
      <alignment horizontal="left" vertical="top"/>
    </xf>
    <xf numFmtId="0" fontId="2" fillId="0" borderId="9" applyNumberFormat="0" applyProtection="0">
      <alignment horizontal="left" vertical="center" indent="1"/>
    </xf>
    <xf numFmtId="213" fontId="2" fillId="0" borderId="9" applyNumberFormat="0" applyProtection="0">
      <alignment horizontal="left" vertical="center" indent="1"/>
    </xf>
    <xf numFmtId="213" fontId="2" fillId="0" borderId="9" applyNumberFormat="0" applyProtection="0">
      <alignment horizontal="left" vertical="center"/>
    </xf>
    <xf numFmtId="213" fontId="2" fillId="0" borderId="9" applyNumberFormat="0" applyProtection="0">
      <alignment horizontal="left" vertical="center"/>
    </xf>
    <xf numFmtId="0" fontId="2" fillId="48" borderId="36" applyNumberFormat="0" applyProtection="0">
      <alignment horizontal="left" vertical="top" indent="1"/>
    </xf>
    <xf numFmtId="213" fontId="2" fillId="48" borderId="36" applyNumberFormat="0" applyProtection="0">
      <alignment horizontal="left" vertical="top" indent="1"/>
    </xf>
    <xf numFmtId="213" fontId="2" fillId="48" borderId="36" applyNumberFormat="0" applyProtection="0">
      <alignment horizontal="left" vertical="top"/>
    </xf>
    <xf numFmtId="213" fontId="2" fillId="48" borderId="36" applyNumberFormat="0" applyProtection="0">
      <alignment horizontal="left" vertical="top"/>
    </xf>
    <xf numFmtId="0" fontId="2" fillId="0" borderId="9" applyNumberFormat="0" applyProtection="0">
      <alignment horizontal="left" vertical="center" indent="1"/>
    </xf>
    <xf numFmtId="213" fontId="2" fillId="0" borderId="9" applyNumberFormat="0" applyProtection="0">
      <alignment horizontal="left" vertical="center" indent="1"/>
    </xf>
    <xf numFmtId="213" fontId="2" fillId="0" borderId="9" applyNumberFormat="0" applyProtection="0">
      <alignment horizontal="left" vertical="center"/>
    </xf>
    <xf numFmtId="213" fontId="2" fillId="0" borderId="9" applyNumberFormat="0" applyProtection="0">
      <alignment horizontal="left" vertical="center"/>
    </xf>
    <xf numFmtId="0" fontId="2" fillId="20" borderId="36" applyNumberFormat="0" applyProtection="0">
      <alignment horizontal="left" vertical="top" indent="1"/>
    </xf>
    <xf numFmtId="213" fontId="2" fillId="20" borderId="36" applyNumberFormat="0" applyProtection="0">
      <alignment horizontal="left" vertical="top" indent="1"/>
    </xf>
    <xf numFmtId="213" fontId="2" fillId="20" borderId="36" applyNumberFormat="0" applyProtection="0">
      <alignment horizontal="left" vertical="top"/>
    </xf>
    <xf numFmtId="213" fontId="2" fillId="20" borderId="36" applyNumberFormat="0" applyProtection="0">
      <alignment horizontal="left" vertical="top"/>
    </xf>
    <xf numFmtId="0" fontId="2" fillId="24" borderId="36" applyNumberFormat="0" applyProtection="0">
      <alignment horizontal="left" vertical="center" indent="1"/>
    </xf>
    <xf numFmtId="213" fontId="2" fillId="24" borderId="36" applyNumberFormat="0" applyProtection="0">
      <alignment horizontal="left" vertical="center" indent="1"/>
    </xf>
    <xf numFmtId="213" fontId="2" fillId="24" borderId="36" applyNumberFormat="0" applyProtection="0">
      <alignment horizontal="left" vertical="center"/>
    </xf>
    <xf numFmtId="213" fontId="2" fillId="24" borderId="36" applyNumberFormat="0" applyProtection="0">
      <alignment horizontal="left" vertical="center"/>
    </xf>
    <xf numFmtId="0" fontId="2" fillId="24" borderId="36" applyNumberFormat="0" applyProtection="0">
      <alignment horizontal="left" vertical="top" indent="1"/>
    </xf>
    <xf numFmtId="213" fontId="2" fillId="24" borderId="36" applyNumberFormat="0" applyProtection="0">
      <alignment horizontal="left" vertical="top" indent="1"/>
    </xf>
    <xf numFmtId="213" fontId="2" fillId="24" borderId="36" applyNumberFormat="0" applyProtection="0">
      <alignment horizontal="left" vertical="top"/>
    </xf>
    <xf numFmtId="213" fontId="2" fillId="24" borderId="36" applyNumberFormat="0" applyProtection="0">
      <alignment horizontal="left" vertical="top"/>
    </xf>
    <xf numFmtId="4" fontId="106" fillId="24" borderId="36" applyNumberFormat="0" applyProtection="0">
      <alignment vertical="center"/>
    </xf>
    <xf numFmtId="4" fontId="107" fillId="24" borderId="36" applyNumberFormat="0" applyProtection="0">
      <alignment vertical="center"/>
    </xf>
    <xf numFmtId="4" fontId="104" fillId="20" borderId="38" applyNumberFormat="0" applyProtection="0">
      <alignment horizontal="left" vertical="center" indent="1"/>
    </xf>
    <xf numFmtId="4" fontId="104" fillId="20" borderId="38" applyNumberFormat="0" applyProtection="0">
      <alignment horizontal="left" vertical="center" indent="1"/>
    </xf>
    <xf numFmtId="0" fontId="32" fillId="21" borderId="36" applyNumberFormat="0" applyProtection="0">
      <alignment horizontal="left" vertical="top" indent="1"/>
    </xf>
    <xf numFmtId="213" fontId="32" fillId="21" borderId="36" applyNumberFormat="0" applyProtection="0">
      <alignment horizontal="left" vertical="top" indent="1"/>
    </xf>
    <xf numFmtId="213" fontId="32" fillId="21" borderId="36" applyNumberFormat="0" applyProtection="0">
      <alignment horizontal="left" vertical="top"/>
    </xf>
    <xf numFmtId="213" fontId="32" fillId="21" borderId="36" applyNumberFormat="0" applyProtection="0">
      <alignment horizontal="left" vertical="top"/>
    </xf>
    <xf numFmtId="4" fontId="106" fillId="24" borderId="36" applyNumberFormat="0" applyProtection="0">
      <alignment horizontal="right" vertical="center"/>
    </xf>
    <xf numFmtId="4" fontId="107" fillId="24" borderId="36" applyNumberFormat="0" applyProtection="0">
      <alignment horizontal="right" vertical="center"/>
    </xf>
    <xf numFmtId="4" fontId="104" fillId="20" borderId="36" applyNumberFormat="0" applyProtection="0">
      <alignment horizontal="left" vertical="center" indent="1"/>
    </xf>
    <xf numFmtId="4" fontId="104" fillId="20" borderId="36" applyNumberFormat="0" applyProtection="0">
      <alignment horizontal="left" vertical="center" indent="1"/>
    </xf>
    <xf numFmtId="0" fontId="65" fillId="0" borderId="9" applyNumberFormat="0" applyProtection="0">
      <alignment horizontal="left" vertical="top" indent="1"/>
    </xf>
    <xf numFmtId="213" fontId="65" fillId="0" borderId="9" applyNumberFormat="0" applyProtection="0">
      <alignment horizontal="left" vertical="top" indent="1"/>
    </xf>
    <xf numFmtId="213" fontId="65" fillId="0" borderId="9" applyNumberFormat="0" applyProtection="0">
      <alignment horizontal="left" vertical="top"/>
    </xf>
    <xf numFmtId="213" fontId="65" fillId="0" borderId="9" applyNumberFormat="0" applyProtection="0">
      <alignment horizontal="left" vertical="top"/>
    </xf>
    <xf numFmtId="4" fontId="108" fillId="48" borderId="38" applyNumberFormat="0" applyProtection="0">
      <alignment horizontal="left" vertical="center" indent="1"/>
    </xf>
    <xf numFmtId="4" fontId="108" fillId="48" borderId="38" applyNumberFormat="0" applyProtection="0">
      <alignment horizontal="left" vertical="center" indent="1"/>
    </xf>
    <xf numFmtId="4" fontId="109" fillId="24" borderId="36" applyNumberFormat="0" applyProtection="0">
      <alignment horizontal="right" vertical="center"/>
    </xf>
    <xf numFmtId="38" fontId="23" fillId="0" borderId="0" applyFont="0" applyFill="0" applyBorder="0" applyAlignment="0" applyProtection="0"/>
    <xf numFmtId="205" fontId="6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212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0" fontId="2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0" fontId="23" fillId="0" borderId="0" applyFont="0" applyFill="0" applyBorder="0" applyAlignment="0" applyProtection="0"/>
    <xf numFmtId="43" fontId="2" fillId="0" borderId="0" applyFont="0" applyFill="0" applyBorder="0" applyAlignment="0" applyProtection="0"/>
    <xf numFmtId="240" fontId="2" fillId="0" borderId="0" applyFont="0" applyFill="0" applyBorder="0" applyAlignment="0" applyProtection="0"/>
    <xf numFmtId="43" fontId="9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" fontId="25" fillId="0" borderId="39">
      <alignment horizontal="right" vertical="center"/>
      <protection locked="0"/>
    </xf>
    <xf numFmtId="0" fontId="1" fillId="0" borderId="0"/>
    <xf numFmtId="0" fontId="110" fillId="0" borderId="40" applyProtection="0">
      <alignment horizontal="centerContinuous"/>
    </xf>
    <xf numFmtId="213" fontId="110" fillId="0" borderId="40" applyProtection="0">
      <alignment horizontal="centerContinuous"/>
    </xf>
    <xf numFmtId="0" fontId="2" fillId="49" borderId="0"/>
    <xf numFmtId="0" fontId="38" fillId="0" borderId="41"/>
    <xf numFmtId="213" fontId="38" fillId="0" borderId="41"/>
    <xf numFmtId="0" fontId="111" fillId="0" borderId="0" applyBorder="0" applyProtection="0">
      <alignment vertical="center"/>
    </xf>
    <xf numFmtId="213" fontId="111" fillId="0" borderId="0" applyBorder="0" applyProtection="0">
      <alignment vertical="center"/>
    </xf>
    <xf numFmtId="224" fontId="111" fillId="0" borderId="42" applyBorder="0" applyProtection="0">
      <alignment horizontal="right" vertical="center"/>
    </xf>
    <xf numFmtId="0" fontId="112" fillId="50" borderId="0" applyBorder="0" applyProtection="0">
      <alignment horizontal="centerContinuous" vertical="center"/>
    </xf>
    <xf numFmtId="213" fontId="112" fillId="50" borderId="0" applyBorder="0" applyProtection="0">
      <alignment horizontal="centerContinuous" vertical="center"/>
    </xf>
    <xf numFmtId="0" fontId="112" fillId="51" borderId="42" applyBorder="0" applyProtection="0">
      <alignment horizontal="centerContinuous" vertical="center"/>
    </xf>
    <xf numFmtId="213" fontId="112" fillId="51" borderId="42" applyBorder="0" applyProtection="0">
      <alignment horizontal="centerContinuous" vertical="center"/>
    </xf>
    <xf numFmtId="0" fontId="74" fillId="0" borderId="0" applyFill="0" applyBorder="0" applyProtection="0">
      <alignment horizontal="left"/>
    </xf>
    <xf numFmtId="213" fontId="74" fillId="0" borderId="0" applyFill="0" applyBorder="0" applyProtection="0">
      <alignment horizontal="left"/>
    </xf>
    <xf numFmtId="0" fontId="85" fillId="0" borderId="43" applyFill="0" applyBorder="0" applyProtection="0">
      <alignment horizontal="left" vertical="top"/>
    </xf>
    <xf numFmtId="213" fontId="85" fillId="0" borderId="43" applyFill="0" applyBorder="0" applyProtection="0">
      <alignment horizontal="left" vertical="top"/>
    </xf>
    <xf numFmtId="2" fontId="26" fillId="0" borderId="20">
      <alignment vertical="center"/>
      <protection locked="0"/>
    </xf>
    <xf numFmtId="0" fontId="54" fillId="0" borderId="0" applyNumberFormat="0" applyFill="0" applyBorder="0" applyAlignment="0" applyProtection="0"/>
    <xf numFmtId="213" fontId="54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213" fontId="52" fillId="0" borderId="0" applyNumberFormat="0" applyFill="0" applyBorder="0" applyAlignment="0" applyProtection="0"/>
    <xf numFmtId="168" fontId="3" fillId="0" borderId="44" applyNumberFormat="0"/>
    <xf numFmtId="43" fontId="3" fillId="0" borderId="44" applyNumberFormat="0"/>
    <xf numFmtId="0" fontId="53" fillId="0" borderId="0" applyNumberFormat="0" applyFill="0" applyBorder="0" applyAlignment="0" applyProtection="0"/>
    <xf numFmtId="213" fontId="53" fillId="0" borderId="0" applyNumberFormat="0" applyFill="0" applyBorder="0" applyAlignment="0" applyProtection="0"/>
    <xf numFmtId="168" fontId="3" fillId="0" borderId="45"/>
    <xf numFmtId="43" fontId="3" fillId="0" borderId="45"/>
    <xf numFmtId="206" fontId="75" fillId="0" borderId="46"/>
    <xf numFmtId="0" fontId="139" fillId="0" borderId="59" applyNumberFormat="0" applyFill="0" applyAlignment="0" applyProtection="0"/>
    <xf numFmtId="0" fontId="140" fillId="0" borderId="60" applyNumberFormat="0" applyFill="0" applyAlignment="0" applyProtection="0"/>
    <xf numFmtId="0" fontId="141" fillId="0" borderId="61" applyNumberFormat="0" applyFill="0" applyAlignment="0" applyProtection="0"/>
    <xf numFmtId="0" fontId="141" fillId="0" borderId="0" applyNumberFormat="0" applyFill="0" applyBorder="0" applyAlignment="0" applyProtection="0"/>
    <xf numFmtId="241" fontId="113" fillId="0" borderId="0">
      <protection locked="0"/>
    </xf>
    <xf numFmtId="241" fontId="113" fillId="0" borderId="0">
      <protection locked="0"/>
    </xf>
    <xf numFmtId="188" fontId="13" fillId="0" borderId="47">
      <protection locked="0"/>
    </xf>
    <xf numFmtId="0" fontId="142" fillId="0" borderId="62" applyNumberFormat="0" applyFill="0" applyAlignment="0" applyProtection="0"/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37" fontId="3" fillId="29" borderId="0" applyNumberFormat="0" applyBorder="0" applyAlignment="0" applyProtection="0"/>
    <xf numFmtId="37" fontId="3" fillId="0" borderId="0"/>
    <xf numFmtId="37" fontId="3" fillId="29" borderId="0" applyNumberFormat="0" applyBorder="0" applyAlignment="0" applyProtection="0"/>
    <xf numFmtId="3" fontId="16" fillId="0" borderId="27" applyProtection="0"/>
    <xf numFmtId="189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60" fillId="0" borderId="0" applyFont="0" applyFill="0" applyBorder="0" applyAlignment="0" applyProtection="0"/>
    <xf numFmtId="40" fontId="2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60" fillId="0" borderId="0" applyFont="0" applyFill="0" applyBorder="0" applyAlignment="0" applyProtection="0"/>
    <xf numFmtId="168" fontId="5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2" fillId="0" borderId="0" applyFont="0" applyFill="0" applyBorder="0" applyAlignment="0" applyProtection="0"/>
    <xf numFmtId="184" fontId="1" fillId="0" borderId="0" applyFont="0" applyFill="0" applyBorder="0" applyAlignment="0" applyProtection="0"/>
    <xf numFmtId="186" fontId="1" fillId="0" borderId="0" applyFont="0" applyFill="0" applyBorder="0" applyAlignment="0" applyProtection="0"/>
    <xf numFmtId="0" fontId="54" fillId="0" borderId="0" applyNumberFormat="0" applyFill="0" applyBorder="0" applyAlignment="0" applyProtection="0"/>
    <xf numFmtId="37" fontId="76" fillId="52" borderId="48"/>
    <xf numFmtId="242" fontId="38" fillId="0" borderId="0"/>
    <xf numFmtId="208" fontId="77" fillId="0" borderId="0"/>
    <xf numFmtId="209" fontId="77" fillId="0" borderId="0"/>
    <xf numFmtId="210" fontId="77" fillId="0" borderId="0"/>
    <xf numFmtId="211" fontId="77" fillId="0" borderId="0"/>
    <xf numFmtId="0" fontId="77" fillId="0" borderId="0"/>
    <xf numFmtId="0" fontId="77" fillId="0" borderId="0"/>
    <xf numFmtId="0" fontId="27" fillId="0" borderId="0"/>
    <xf numFmtId="177" fontId="15" fillId="0" borderId="0" applyFont="0" applyFill="0" applyBorder="0" applyAlignment="0" applyProtection="0"/>
  </cellStyleXfs>
  <cellXfs count="497">
    <xf numFmtId="0" fontId="0" fillId="0" borderId="0" xfId="0"/>
    <xf numFmtId="175" fontId="55" fillId="0" borderId="0" xfId="0" applyNumberFormat="1" applyFont="1" applyAlignment="1">
      <alignment horizontal="left" vertical="center"/>
    </xf>
    <xf numFmtId="0" fontId="114" fillId="0" borderId="0" xfId="0" applyFont="1"/>
    <xf numFmtId="0" fontId="38" fillId="0" borderId="0" xfId="0" applyFont="1"/>
    <xf numFmtId="0" fontId="38" fillId="0" borderId="9" xfId="0" applyFont="1" applyBorder="1" applyAlignment="1">
      <alignment horizontal="center"/>
    </xf>
    <xf numFmtId="9" fontId="38" fillId="0" borderId="0" xfId="0" applyNumberFormat="1" applyFont="1" applyAlignment="1">
      <alignment horizontal="center"/>
    </xf>
    <xf numFmtId="4" fontId="38" fillId="0" borderId="0" xfId="0" applyNumberFormat="1" applyFont="1" applyAlignment="1">
      <alignment horizontal="center"/>
    </xf>
    <xf numFmtId="17" fontId="38" fillId="0" borderId="9" xfId="0" applyNumberFormat="1" applyFont="1" applyBorder="1"/>
    <xf numFmtId="0" fontId="38" fillId="0" borderId="9" xfId="0" applyFont="1" applyBorder="1"/>
    <xf numFmtId="243" fontId="38" fillId="0" borderId="0" xfId="0" applyNumberFormat="1" applyFont="1"/>
    <xf numFmtId="168" fontId="38" fillId="0" borderId="9" xfId="815" applyFont="1" applyBorder="1"/>
    <xf numFmtId="0" fontId="118" fillId="0" borderId="9" xfId="477" applyFont="1" applyBorder="1"/>
    <xf numFmtId="168" fontId="38" fillId="0" borderId="9" xfId="815" applyFont="1" applyFill="1" applyBorder="1"/>
    <xf numFmtId="0" fontId="38" fillId="0" borderId="0" xfId="0" applyFont="1" applyAlignment="1">
      <alignment horizontal="center"/>
    </xf>
    <xf numFmtId="4" fontId="38" fillId="0" borderId="9" xfId="815" applyNumberFormat="1" applyFont="1" applyBorder="1" applyAlignment="1">
      <alignment horizontal="center"/>
    </xf>
    <xf numFmtId="4" fontId="38" fillId="0" borderId="9" xfId="0" applyNumberFormat="1" applyFont="1" applyBorder="1" applyAlignment="1">
      <alignment horizontal="center"/>
    </xf>
    <xf numFmtId="0" fontId="114" fillId="0" borderId="0" xfId="0" applyFont="1" applyAlignment="1">
      <alignment horizontal="center"/>
    </xf>
    <xf numFmtId="3" fontId="38" fillId="0" borderId="9" xfId="0" applyNumberFormat="1" applyFont="1" applyBorder="1" applyAlignment="1">
      <alignment horizontal="center"/>
    </xf>
    <xf numFmtId="172" fontId="38" fillId="0" borderId="9" xfId="0" applyNumberFormat="1" applyFont="1" applyBorder="1" applyAlignment="1">
      <alignment horizontal="center"/>
    </xf>
    <xf numFmtId="3" fontId="114" fillId="0" borderId="9" xfId="0" applyNumberFormat="1" applyFont="1" applyBorder="1" applyAlignment="1">
      <alignment horizontal="center"/>
    </xf>
    <xf numFmtId="4" fontId="114" fillId="0" borderId="9" xfId="0" applyNumberFormat="1" applyFont="1" applyBorder="1" applyAlignment="1">
      <alignment horizontal="center"/>
    </xf>
    <xf numFmtId="3" fontId="38" fillId="0" borderId="0" xfId="0" applyNumberFormat="1" applyFont="1"/>
    <xf numFmtId="3" fontId="38" fillId="23" borderId="0" xfId="0" applyNumberFormat="1" applyFont="1" applyFill="1" applyAlignment="1">
      <alignment horizontal="center"/>
    </xf>
    <xf numFmtId="3" fontId="38" fillId="23" borderId="9" xfId="0" applyNumberFormat="1" applyFont="1" applyFill="1" applyBorder="1" applyAlignment="1">
      <alignment horizontal="center"/>
    </xf>
    <xf numFmtId="175" fontId="114" fillId="0" borderId="33" xfId="0" applyNumberFormat="1" applyFont="1" applyBorder="1" applyAlignment="1">
      <alignment horizontal="center"/>
    </xf>
    <xf numFmtId="0" fontId="38" fillId="23" borderId="0" xfId="526" applyFont="1" applyFill="1"/>
    <xf numFmtId="0" fontId="38" fillId="23" borderId="33" xfId="0" applyFont="1" applyFill="1" applyBorder="1" applyAlignment="1">
      <alignment horizontal="center"/>
    </xf>
    <xf numFmtId="0" fontId="38" fillId="23" borderId="49" xfId="0" applyFont="1" applyFill="1" applyBorder="1" applyAlignment="1">
      <alignment horizontal="center"/>
    </xf>
    <xf numFmtId="3" fontId="38" fillId="0" borderId="0" xfId="0" applyNumberFormat="1" applyFont="1" applyAlignment="1">
      <alignment horizontal="center"/>
    </xf>
    <xf numFmtId="0" fontId="38" fillId="0" borderId="49" xfId="0" applyFont="1" applyBorder="1" applyAlignment="1">
      <alignment horizontal="center"/>
    </xf>
    <xf numFmtId="3" fontId="38" fillId="0" borderId="40" xfId="0" applyNumberFormat="1" applyFont="1" applyBorder="1" applyAlignment="1">
      <alignment horizontal="center"/>
    </xf>
    <xf numFmtId="3" fontId="38" fillId="0" borderId="23" xfId="0" applyNumberFormat="1" applyFont="1" applyBorder="1" applyAlignment="1">
      <alignment horizontal="center"/>
    </xf>
    <xf numFmtId="0" fontId="38" fillId="23" borderId="0" xfId="0" applyFont="1" applyFill="1" applyAlignment="1">
      <alignment horizontal="center"/>
    </xf>
    <xf numFmtId="0" fontId="38" fillId="23" borderId="9" xfId="0" applyFont="1" applyFill="1" applyBorder="1" applyAlignment="1">
      <alignment horizontal="center"/>
    </xf>
    <xf numFmtId="171" fontId="38" fillId="23" borderId="0" xfId="0" applyNumberFormat="1" applyFont="1" applyFill="1" applyAlignment="1">
      <alignment horizontal="center"/>
    </xf>
    <xf numFmtId="49" fontId="38" fillId="0" borderId="9" xfId="0" applyNumberFormat="1" applyFont="1" applyBorder="1" applyAlignment="1">
      <alignment horizontal="center"/>
    </xf>
    <xf numFmtId="3" fontId="38" fillId="0" borderId="9" xfId="0" applyNumberFormat="1" applyFont="1" applyBorder="1" applyAlignment="1" applyProtection="1">
      <alignment horizontal="center" vertical="center"/>
      <protection locked="0"/>
    </xf>
    <xf numFmtId="176" fontId="114" fillId="0" borderId="0" xfId="0" applyNumberFormat="1" applyFont="1" applyAlignment="1">
      <alignment horizontal="center"/>
    </xf>
    <xf numFmtId="3" fontId="38" fillId="23" borderId="9" xfId="0" applyNumberFormat="1" applyFont="1" applyFill="1" applyBorder="1" applyAlignment="1">
      <alignment horizontal="left"/>
    </xf>
    <xf numFmtId="3" fontId="114" fillId="23" borderId="9" xfId="0" applyNumberFormat="1" applyFont="1" applyFill="1" applyBorder="1" applyAlignment="1">
      <alignment horizontal="center"/>
    </xf>
    <xf numFmtId="0" fontId="38" fillId="0" borderId="42" xfId="0" applyFont="1" applyBorder="1"/>
    <xf numFmtId="0" fontId="38" fillId="23" borderId="9" xfId="526" applyFont="1" applyFill="1" applyBorder="1" applyAlignment="1">
      <alignment horizontal="center"/>
    </xf>
    <xf numFmtId="0" fontId="114" fillId="23" borderId="9" xfId="526" applyFont="1" applyFill="1" applyBorder="1" applyAlignment="1">
      <alignment horizontal="left"/>
    </xf>
    <xf numFmtId="39" fontId="114" fillId="0" borderId="9" xfId="815" applyNumberFormat="1" applyFont="1" applyFill="1" applyBorder="1" applyAlignment="1">
      <alignment horizontal="center"/>
    </xf>
    <xf numFmtId="0" fontId="114" fillId="23" borderId="0" xfId="526" applyFont="1" applyFill="1" applyAlignment="1">
      <alignment horizontal="left"/>
    </xf>
    <xf numFmtId="39" fontId="38" fillId="0" borderId="0" xfId="815" applyNumberFormat="1" applyFont="1" applyFill="1" applyBorder="1" applyAlignment="1">
      <alignment horizontal="center"/>
    </xf>
    <xf numFmtId="0" fontId="38" fillId="23" borderId="9" xfId="526" applyFont="1" applyFill="1" applyBorder="1" applyAlignment="1">
      <alignment horizontal="left"/>
    </xf>
    <xf numFmtId="2" fontId="38" fillId="0" borderId="9" xfId="815" applyNumberFormat="1" applyFont="1" applyFill="1" applyBorder="1" applyAlignment="1">
      <alignment horizontal="center"/>
    </xf>
    <xf numFmtId="9" fontId="38" fillId="0" borderId="9" xfId="581" applyFont="1" applyFill="1" applyBorder="1" applyAlignment="1">
      <alignment horizontal="center"/>
    </xf>
    <xf numFmtId="10" fontId="38" fillId="0" borderId="50" xfId="581" applyNumberFormat="1" applyFont="1" applyFill="1" applyBorder="1" applyAlignment="1">
      <alignment horizontal="center"/>
    </xf>
    <xf numFmtId="0" fontId="38" fillId="23" borderId="9" xfId="526" applyFont="1" applyFill="1" applyBorder="1" applyAlignment="1">
      <alignment horizontal="center" vertical="top"/>
    </xf>
    <xf numFmtId="1" fontId="38" fillId="23" borderId="9" xfId="526" applyNumberFormat="1" applyFont="1" applyFill="1" applyBorder="1" applyAlignment="1">
      <alignment horizontal="center"/>
    </xf>
    <xf numFmtId="172" fontId="38" fillId="0" borderId="9" xfId="0" applyNumberFormat="1" applyFont="1" applyBorder="1"/>
    <xf numFmtId="170" fontId="38" fillId="23" borderId="0" xfId="526" applyNumberFormat="1" applyFont="1" applyFill="1" applyAlignment="1">
      <alignment horizontal="center"/>
    </xf>
    <xf numFmtId="0" fontId="38" fillId="0" borderId="0" xfId="0" quotePrefix="1" applyFont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38" fillId="23" borderId="51" xfId="0" applyFont="1" applyFill="1" applyBorder="1" applyAlignment="1">
      <alignment horizontal="center"/>
    </xf>
    <xf numFmtId="0" fontId="114" fillId="0" borderId="9" xfId="0" applyFont="1" applyBorder="1"/>
    <xf numFmtId="4" fontId="38" fillId="0" borderId="0" xfId="0" applyNumberFormat="1" applyFont="1"/>
    <xf numFmtId="3" fontId="114" fillId="0" borderId="0" xfId="0" applyNumberFormat="1" applyFont="1" applyAlignment="1">
      <alignment horizontal="center"/>
    </xf>
    <xf numFmtId="3" fontId="38" fillId="23" borderId="9" xfId="526" applyNumberFormat="1" applyFont="1" applyFill="1" applyBorder="1" applyAlignment="1">
      <alignment horizontal="left" vertical="center" wrapText="1"/>
    </xf>
    <xf numFmtId="168" fontId="38" fillId="0" borderId="0" xfId="815" applyFont="1" applyFill="1"/>
    <xf numFmtId="0" fontId="38" fillId="0" borderId="0" xfId="329" applyFont="1" applyFill="1" applyBorder="1" applyAlignment="1" applyProtection="1"/>
    <xf numFmtId="10" fontId="114" fillId="0" borderId="0" xfId="581" applyNumberFormat="1" applyFont="1" applyFill="1" applyBorder="1" applyAlignment="1">
      <alignment horizontal="center"/>
    </xf>
    <xf numFmtId="0" fontId="38" fillId="0" borderId="9" xfId="329" applyFont="1" applyFill="1" applyBorder="1" applyAlignment="1" applyProtection="1"/>
    <xf numFmtId="10" fontId="114" fillId="0" borderId="9" xfId="581" applyNumberFormat="1" applyFont="1" applyFill="1" applyBorder="1" applyAlignment="1">
      <alignment horizontal="center"/>
    </xf>
    <xf numFmtId="8" fontId="38" fillId="0" borderId="0" xfId="0" applyNumberFormat="1" applyFont="1"/>
    <xf numFmtId="43" fontId="38" fillId="0" borderId="0" xfId="0" applyNumberFormat="1" applyFont="1"/>
    <xf numFmtId="173" fontId="38" fillId="0" borderId="0" xfId="815" applyNumberFormat="1" applyFont="1" applyBorder="1"/>
    <xf numFmtId="0" fontId="121" fillId="0" borderId="9" xfId="0" applyFont="1" applyBorder="1" applyAlignment="1">
      <alignment horizontal="center" vertical="center" wrapText="1"/>
    </xf>
    <xf numFmtId="10" fontId="38" fillId="0" borderId="0" xfId="0" applyNumberFormat="1" applyFont="1"/>
    <xf numFmtId="0" fontId="38" fillId="0" borderId="0" xfId="0" applyFont="1" applyAlignment="1">
      <alignment horizontal="right"/>
    </xf>
    <xf numFmtId="4" fontId="0" fillId="0" borderId="0" xfId="0" applyNumberFormat="1"/>
    <xf numFmtId="9" fontId="0" fillId="0" borderId="0" xfId="0" applyNumberFormat="1"/>
    <xf numFmtId="0" fontId="122" fillId="0" borderId="9" xfId="477" applyFont="1" applyBorder="1" applyAlignment="1">
      <alignment horizontal="right"/>
    </xf>
    <xf numFmtId="0" fontId="114" fillId="0" borderId="9" xfId="0" applyFont="1" applyBorder="1" applyAlignment="1">
      <alignment horizontal="right"/>
    </xf>
    <xf numFmtId="0" fontId="114" fillId="0" borderId="0" xfId="0" applyFont="1" applyAlignment="1">
      <alignment horizontal="right"/>
    </xf>
    <xf numFmtId="173" fontId="38" fillId="0" borderId="0" xfId="0" applyNumberFormat="1" applyFont="1"/>
    <xf numFmtId="243" fontId="38" fillId="0" borderId="9" xfId="815" applyNumberFormat="1" applyFont="1" applyBorder="1" applyAlignment="1">
      <alignment horizontal="center"/>
    </xf>
    <xf numFmtId="43" fontId="56" fillId="0" borderId="0" xfId="0" applyNumberFormat="1" applyFont="1" applyAlignment="1">
      <alignment vertical="center"/>
    </xf>
    <xf numFmtId="164" fontId="38" fillId="0" borderId="0" xfId="0" applyNumberFormat="1" applyFont="1" applyAlignment="1">
      <alignment horizontal="right"/>
    </xf>
    <xf numFmtId="243" fontId="38" fillId="0" borderId="9" xfId="815" applyNumberFormat="1" applyFont="1" applyFill="1" applyBorder="1"/>
    <xf numFmtId="243" fontId="38" fillId="0" borderId="9" xfId="0" applyNumberFormat="1" applyFont="1" applyBorder="1"/>
    <xf numFmtId="0" fontId="38" fillId="0" borderId="9" xfId="329" applyFont="1" applyFill="1" applyBorder="1" applyAlignment="1" applyProtection="1">
      <alignment vertical="center"/>
    </xf>
    <xf numFmtId="0" fontId="114" fillId="0" borderId="0" xfId="581" applyNumberFormat="1" applyFont="1" applyFill="1" applyBorder="1" applyAlignment="1">
      <alignment horizontal="center" vertical="center"/>
    </xf>
    <xf numFmtId="169" fontId="114" fillId="0" borderId="0" xfId="581" applyNumberFormat="1" applyFont="1" applyFill="1" applyBorder="1" applyAlignment="1">
      <alignment horizontal="center" vertical="center"/>
    </xf>
    <xf numFmtId="0" fontId="38" fillId="0" borderId="0" xfId="329" applyFont="1" applyFill="1" applyBorder="1" applyAlignment="1" applyProtection="1">
      <alignment vertical="center"/>
    </xf>
    <xf numFmtId="10" fontId="114" fillId="0" borderId="0" xfId="581" applyNumberFormat="1" applyFont="1" applyFill="1" applyBorder="1" applyAlignment="1">
      <alignment horizontal="center" vertical="center"/>
    </xf>
    <xf numFmtId="0" fontId="114" fillId="0" borderId="9" xfId="329" applyFont="1" applyFill="1" applyBorder="1" applyAlignment="1" applyProtection="1">
      <alignment vertical="center"/>
    </xf>
    <xf numFmtId="3" fontId="0" fillId="0" borderId="0" xfId="0" applyNumberFormat="1"/>
    <xf numFmtId="0" fontId="38" fillId="0" borderId="9" xfId="0" applyFont="1" applyBorder="1" applyAlignment="1">
      <alignment horizontal="center"/>
    </xf>
    <xf numFmtId="0" fontId="38" fillId="0" borderId="42" xfId="0" applyFont="1" applyBorder="1" applyAlignment="1">
      <alignment horizontal="center"/>
    </xf>
    <xf numFmtId="0" fontId="114" fillId="0" borderId="0" xfId="0" applyFont="1" applyAlignment="1">
      <alignment horizontal="left"/>
    </xf>
    <xf numFmtId="0" fontId="38" fillId="0" borderId="9" xfId="0" applyFont="1" applyBorder="1" applyAlignment="1">
      <alignment horizontal="center"/>
    </xf>
    <xf numFmtId="10" fontId="38" fillId="0" borderId="0" xfId="581" applyNumberFormat="1" applyFont="1"/>
    <xf numFmtId="0" fontId="56" fillId="0" borderId="0" xfId="0" quotePrefix="1" applyFont="1" applyAlignment="1">
      <alignment horizontal="center" vertical="center"/>
    </xf>
    <xf numFmtId="0" fontId="56" fillId="0" borderId="0" xfId="0" applyFont="1" applyAlignment="1">
      <alignment horizontal="center" vertical="center"/>
    </xf>
    <xf numFmtId="168" fontId="114" fillId="0" borderId="9" xfId="0" applyNumberFormat="1" applyFont="1" applyBorder="1"/>
    <xf numFmtId="43" fontId="38" fillId="0" borderId="9" xfId="0" applyNumberFormat="1" applyFont="1" applyBorder="1"/>
    <xf numFmtId="4" fontId="1" fillId="0" borderId="0" xfId="0" applyNumberFormat="1" applyFont="1" applyAlignment="1">
      <alignment horizontal="center"/>
    </xf>
    <xf numFmtId="3" fontId="114" fillId="0" borderId="9" xfId="0" applyNumberFormat="1" applyFont="1" applyFill="1" applyBorder="1" applyAlignment="1">
      <alignment horizontal="center"/>
    </xf>
    <xf numFmtId="4" fontId="114" fillId="0" borderId="9" xfId="0" applyNumberFormat="1" applyFont="1" applyFill="1" applyBorder="1" applyAlignment="1">
      <alignment horizontal="center"/>
    </xf>
    <xf numFmtId="168" fontId="38" fillId="0" borderId="0" xfId="815" applyNumberFormat="1" applyFont="1" applyBorder="1"/>
    <xf numFmtId="0" fontId="144" fillId="0" borderId="0" xfId="0" applyFont="1"/>
    <xf numFmtId="20" fontId="144" fillId="0" borderId="0" xfId="0" applyNumberFormat="1" applyFont="1"/>
    <xf numFmtId="0" fontId="144" fillId="86" borderId="79" xfId="0" applyFont="1" applyFill="1" applyBorder="1" applyAlignment="1">
      <alignment horizontal="center" vertical="center"/>
    </xf>
    <xf numFmtId="0" fontId="144" fillId="86" borderId="52" xfId="0" applyFont="1" applyFill="1" applyBorder="1" applyAlignment="1">
      <alignment horizontal="center" vertical="center"/>
    </xf>
    <xf numFmtId="0" fontId="144" fillId="86" borderId="80" xfId="0" applyFont="1" applyFill="1" applyBorder="1" applyAlignment="1">
      <alignment horizontal="center" vertical="center"/>
    </xf>
    <xf numFmtId="0" fontId="145" fillId="0" borderId="79" xfId="0" applyFont="1" applyBorder="1" applyAlignment="1">
      <alignment horizontal="center" vertical="center"/>
    </xf>
    <xf numFmtId="0" fontId="145" fillId="0" borderId="52" xfId="0" applyFont="1" applyBorder="1" applyAlignment="1">
      <alignment horizontal="center" vertical="center"/>
    </xf>
    <xf numFmtId="0" fontId="145" fillId="0" borderId="80" xfId="0" applyFont="1" applyBorder="1" applyAlignment="1">
      <alignment horizontal="center" vertical="center"/>
    </xf>
    <xf numFmtId="1" fontId="145" fillId="0" borderId="52" xfId="0" applyNumberFormat="1" applyFont="1" applyBorder="1" applyAlignment="1">
      <alignment horizontal="center" vertical="center"/>
    </xf>
    <xf numFmtId="1" fontId="145" fillId="0" borderId="80" xfId="0" applyNumberFormat="1" applyFont="1" applyBorder="1" applyAlignment="1">
      <alignment horizontal="center" vertical="center"/>
    </xf>
    <xf numFmtId="0" fontId="144" fillId="0" borderId="79" xfId="0" applyFont="1" applyBorder="1" applyAlignment="1">
      <alignment horizontal="center" vertical="center"/>
    </xf>
    <xf numFmtId="0" fontId="144" fillId="0" borderId="52" xfId="0" applyFont="1" applyBorder="1" applyAlignment="1">
      <alignment horizontal="center" vertical="center"/>
    </xf>
    <xf numFmtId="3" fontId="145" fillId="0" borderId="80" xfId="0" applyNumberFormat="1" applyFont="1" applyBorder="1" applyAlignment="1">
      <alignment horizontal="center" vertical="center"/>
    </xf>
    <xf numFmtId="4" fontId="145" fillId="0" borderId="79" xfId="0" applyNumberFormat="1" applyFont="1" applyBorder="1" applyAlignment="1">
      <alignment horizontal="center" vertical="center"/>
    </xf>
    <xf numFmtId="4" fontId="145" fillId="0" borderId="52" xfId="0" applyNumberFormat="1" applyFont="1" applyBorder="1" applyAlignment="1">
      <alignment horizontal="center" vertical="center"/>
    </xf>
    <xf numFmtId="4" fontId="145" fillId="0" borderId="80" xfId="0" applyNumberFormat="1" applyFont="1" applyBorder="1" applyAlignment="1">
      <alignment horizontal="center" vertical="center"/>
    </xf>
    <xf numFmtId="244" fontId="145" fillId="0" borderId="79" xfId="0" applyNumberFormat="1" applyFont="1" applyBorder="1" applyAlignment="1">
      <alignment horizontal="center" vertical="center"/>
    </xf>
    <xf numFmtId="244" fontId="145" fillId="0" borderId="52" xfId="0" applyNumberFormat="1" applyFont="1" applyBorder="1" applyAlignment="1">
      <alignment horizontal="center" vertical="center"/>
    </xf>
    <xf numFmtId="244" fontId="145" fillId="0" borderId="80" xfId="0" applyNumberFormat="1" applyFont="1" applyBorder="1" applyAlignment="1">
      <alignment horizontal="center" vertical="center"/>
    </xf>
    <xf numFmtId="0" fontId="144" fillId="0" borderId="53" xfId="0" applyFont="1" applyBorder="1" applyAlignment="1">
      <alignment horizontal="center" vertical="center"/>
    </xf>
    <xf numFmtId="0" fontId="144" fillId="0" borderId="9" xfId="0" applyFont="1" applyBorder="1" applyAlignment="1">
      <alignment horizontal="center" vertical="center"/>
    </xf>
    <xf numFmtId="0" fontId="144" fillId="0" borderId="81" xfId="0" applyFont="1" applyBorder="1" applyAlignment="1">
      <alignment horizontal="center" vertical="center"/>
    </xf>
    <xf numFmtId="0" fontId="145" fillId="0" borderId="82" xfId="0" applyFont="1" applyBorder="1" applyAlignment="1">
      <alignment horizontal="center" vertical="center"/>
    </xf>
    <xf numFmtId="0" fontId="145" fillId="0" borderId="9" xfId="0" applyFont="1" applyBorder="1" applyAlignment="1">
      <alignment horizontal="center" vertical="center"/>
    </xf>
    <xf numFmtId="0" fontId="145" fillId="0" borderId="81" xfId="0" applyFont="1" applyBorder="1" applyAlignment="1">
      <alignment horizontal="center" vertical="center"/>
    </xf>
    <xf numFmtId="1" fontId="145" fillId="0" borderId="81" xfId="0" applyNumberFormat="1" applyFont="1" applyBorder="1" applyAlignment="1">
      <alignment horizontal="center" vertical="center"/>
    </xf>
    <xf numFmtId="0" fontId="144" fillId="86" borderId="82" xfId="0" applyFont="1" applyFill="1" applyBorder="1" applyAlignment="1">
      <alignment horizontal="center" vertical="center"/>
    </xf>
    <xf numFmtId="0" fontId="144" fillId="86" borderId="9" xfId="0" applyFont="1" applyFill="1" applyBorder="1" applyAlignment="1">
      <alignment horizontal="center" vertical="center"/>
    </xf>
    <xf numFmtId="3" fontId="145" fillId="0" borderId="81" xfId="0" applyNumberFormat="1" applyFont="1" applyBorder="1" applyAlignment="1">
      <alignment horizontal="center" vertical="center"/>
    </xf>
    <xf numFmtId="4" fontId="145" fillId="0" borderId="82" xfId="0" applyNumberFormat="1" applyFont="1" applyBorder="1" applyAlignment="1">
      <alignment horizontal="center" vertical="center"/>
    </xf>
    <xf numFmtId="4" fontId="145" fillId="0" borderId="9" xfId="0" applyNumberFormat="1" applyFont="1" applyBorder="1" applyAlignment="1">
      <alignment horizontal="center" vertical="center"/>
    </xf>
    <xf numFmtId="4" fontId="145" fillId="0" borderId="81" xfId="0" applyNumberFormat="1" applyFont="1" applyBorder="1" applyAlignment="1">
      <alignment horizontal="center" vertical="center"/>
    </xf>
    <xf numFmtId="244" fontId="145" fillId="0" borderId="82" xfId="0" applyNumberFormat="1" applyFont="1" applyBorder="1" applyAlignment="1">
      <alignment horizontal="center" vertical="center"/>
    </xf>
    <xf numFmtId="244" fontId="145" fillId="0" borderId="9" xfId="0" applyNumberFormat="1" applyFont="1" applyBorder="1" applyAlignment="1">
      <alignment horizontal="center" vertical="center"/>
    </xf>
    <xf numFmtId="244" fontId="145" fillId="0" borderId="81" xfId="0" applyNumberFormat="1" applyFont="1" applyBorder="1" applyAlignment="1">
      <alignment horizontal="center" vertical="center"/>
    </xf>
    <xf numFmtId="0" fontId="144" fillId="86" borderId="53" xfId="0" applyFont="1" applyFill="1" applyBorder="1" applyAlignment="1">
      <alignment horizontal="center" vertical="center"/>
    </xf>
    <xf numFmtId="0" fontId="144" fillId="86" borderId="81" xfId="0" applyFont="1" applyFill="1" applyBorder="1" applyAlignment="1">
      <alignment horizontal="center" vertical="center"/>
    </xf>
    <xf numFmtId="0" fontId="145" fillId="86" borderId="82" xfId="0" applyFont="1" applyFill="1" applyBorder="1" applyAlignment="1">
      <alignment horizontal="center" vertical="center"/>
    </xf>
    <xf numFmtId="0" fontId="145" fillId="86" borderId="9" xfId="0" applyFont="1" applyFill="1" applyBorder="1" applyAlignment="1">
      <alignment horizontal="center" vertical="center"/>
    </xf>
    <xf numFmtId="0" fontId="145" fillId="86" borderId="81" xfId="0" applyFont="1" applyFill="1" applyBorder="1" applyAlignment="1">
      <alignment horizontal="center" vertical="center"/>
    </xf>
    <xf numFmtId="1" fontId="145" fillId="86" borderId="52" xfId="0" applyNumberFormat="1" applyFont="1" applyFill="1" applyBorder="1" applyAlignment="1">
      <alignment horizontal="center" vertical="center"/>
    </xf>
    <xf numFmtId="1" fontId="145" fillId="86" borderId="81" xfId="0" applyNumberFormat="1" applyFont="1" applyFill="1" applyBorder="1" applyAlignment="1">
      <alignment horizontal="center" vertical="center"/>
    </xf>
    <xf numFmtId="3" fontId="145" fillId="86" borderId="81" xfId="0" applyNumberFormat="1" applyFont="1" applyFill="1" applyBorder="1" applyAlignment="1">
      <alignment horizontal="center" vertical="center"/>
    </xf>
    <xf numFmtId="4" fontId="145" fillId="86" borderId="82" xfId="0" applyNumberFormat="1" applyFont="1" applyFill="1" applyBorder="1" applyAlignment="1">
      <alignment horizontal="center" vertical="center"/>
    </xf>
    <xf numFmtId="4" fontId="145" fillId="86" borderId="9" xfId="0" applyNumberFormat="1" applyFont="1" applyFill="1" applyBorder="1" applyAlignment="1">
      <alignment horizontal="center" vertical="center"/>
    </xf>
    <xf numFmtId="4" fontId="15" fillId="86" borderId="9" xfId="0" applyNumberFormat="1" applyFont="1" applyFill="1" applyBorder="1" applyAlignment="1">
      <alignment horizontal="center" vertical="center"/>
    </xf>
    <xf numFmtId="244" fontId="145" fillId="86" borderId="9" xfId="0" applyNumberFormat="1" applyFont="1" applyFill="1" applyBorder="1" applyAlignment="1">
      <alignment horizontal="center" vertical="center"/>
    </xf>
    <xf numFmtId="244" fontId="145" fillId="86" borderId="81" xfId="0" applyNumberFormat="1" applyFont="1" applyFill="1" applyBorder="1" applyAlignment="1">
      <alignment horizontal="center" vertical="center"/>
    </xf>
    <xf numFmtId="0" fontId="15" fillId="86" borderId="82" xfId="0" applyFont="1" applyFill="1" applyBorder="1" applyAlignment="1">
      <alignment horizontal="center" vertical="center"/>
    </xf>
    <xf numFmtId="0" fontId="15" fillId="86" borderId="9" xfId="0" applyFont="1" applyFill="1" applyBorder="1" applyAlignment="1">
      <alignment horizontal="center" vertical="center"/>
    </xf>
    <xf numFmtId="0" fontId="15" fillId="86" borderId="81" xfId="0" applyFont="1" applyFill="1" applyBorder="1" applyAlignment="1">
      <alignment horizontal="center" vertical="center"/>
    </xf>
    <xf numFmtId="4" fontId="15" fillId="86" borderId="82" xfId="0" applyNumberFormat="1" applyFont="1" applyFill="1" applyBorder="1" applyAlignment="1">
      <alignment horizontal="center" vertical="center"/>
    </xf>
    <xf numFmtId="244" fontId="15" fillId="86" borderId="9" xfId="0" applyNumberFormat="1" applyFont="1" applyFill="1" applyBorder="1" applyAlignment="1">
      <alignment horizontal="center" vertical="center"/>
    </xf>
    <xf numFmtId="0" fontId="144" fillId="86" borderId="20" xfId="0" applyFont="1" applyFill="1" applyBorder="1" applyAlignment="1">
      <alignment horizontal="center" vertical="center"/>
    </xf>
    <xf numFmtId="0" fontId="144" fillId="86" borderId="33" xfId="0" applyFont="1" applyFill="1" applyBorder="1" applyAlignment="1">
      <alignment horizontal="center" vertical="center"/>
    </xf>
    <xf numFmtId="0" fontId="144" fillId="86" borderId="83" xfId="0" applyFont="1" applyFill="1" applyBorder="1" applyAlignment="1">
      <alignment horizontal="center" vertical="center"/>
    </xf>
    <xf numFmtId="0" fontId="15" fillId="86" borderId="84" xfId="0" applyFont="1" applyFill="1" applyBorder="1" applyAlignment="1">
      <alignment horizontal="center" vertical="center"/>
    </xf>
    <xf numFmtId="0" fontId="15" fillId="86" borderId="33" xfId="0" applyFont="1" applyFill="1" applyBorder="1" applyAlignment="1">
      <alignment horizontal="center" vertical="center"/>
    </xf>
    <xf numFmtId="0" fontId="15" fillId="86" borderId="83" xfId="0" applyFont="1" applyFill="1" applyBorder="1" applyAlignment="1">
      <alignment horizontal="center" vertical="center"/>
    </xf>
    <xf numFmtId="0" fontId="144" fillId="86" borderId="84" xfId="0" applyFont="1" applyFill="1" applyBorder="1" applyAlignment="1">
      <alignment horizontal="center" vertical="center"/>
    </xf>
    <xf numFmtId="3" fontId="145" fillId="86" borderId="83" xfId="0" applyNumberFormat="1" applyFont="1" applyFill="1" applyBorder="1" applyAlignment="1">
      <alignment horizontal="center" vertical="center"/>
    </xf>
    <xf numFmtId="4" fontId="15" fillId="86" borderId="84" xfId="0" applyNumberFormat="1" applyFont="1" applyFill="1" applyBorder="1" applyAlignment="1">
      <alignment horizontal="center" vertical="center"/>
    </xf>
    <xf numFmtId="4" fontId="15" fillId="86" borderId="33" xfId="0" applyNumberFormat="1" applyFont="1" applyFill="1" applyBorder="1" applyAlignment="1">
      <alignment horizontal="center" vertical="center"/>
    </xf>
    <xf numFmtId="244" fontId="15" fillId="86" borderId="33" xfId="0" applyNumberFormat="1" applyFont="1" applyFill="1" applyBorder="1" applyAlignment="1">
      <alignment horizontal="center" vertical="center"/>
    </xf>
    <xf numFmtId="0" fontId="144" fillId="0" borderId="20" xfId="0" applyFont="1" applyBorder="1" applyAlignment="1">
      <alignment horizontal="center" vertical="center"/>
    </xf>
    <xf numFmtId="0" fontId="144" fillId="0" borderId="33" xfId="0" applyFont="1" applyBorder="1" applyAlignment="1">
      <alignment horizontal="center" vertical="center"/>
    </xf>
    <xf numFmtId="0" fontId="144" fillId="0" borderId="83" xfId="0" applyFont="1" applyBorder="1" applyAlignment="1">
      <alignment horizontal="center" vertical="center"/>
    </xf>
    <xf numFmtId="0" fontId="15" fillId="0" borderId="84" xfId="0" applyFont="1" applyBorder="1" applyAlignment="1">
      <alignment horizontal="center" vertical="center"/>
    </xf>
    <xf numFmtId="0" fontId="15" fillId="0" borderId="33" xfId="0" applyFont="1" applyBorder="1" applyAlignment="1">
      <alignment horizontal="center" vertical="center"/>
    </xf>
    <xf numFmtId="0" fontId="15" fillId="0" borderId="83" xfId="0" applyFont="1" applyBorder="1" applyAlignment="1">
      <alignment horizontal="center" vertical="center"/>
    </xf>
    <xf numFmtId="1" fontId="145" fillId="86" borderId="49" xfId="0" applyNumberFormat="1" applyFont="1" applyFill="1" applyBorder="1" applyAlignment="1">
      <alignment horizontal="center" vertical="center"/>
    </xf>
    <xf numFmtId="1" fontId="145" fillId="86" borderId="83" xfId="0" applyNumberFormat="1" applyFont="1" applyFill="1" applyBorder="1" applyAlignment="1">
      <alignment horizontal="center" vertical="center"/>
    </xf>
    <xf numFmtId="3" fontId="145" fillId="0" borderId="83" xfId="0" applyNumberFormat="1" applyFont="1" applyBorder="1" applyAlignment="1">
      <alignment horizontal="center" vertical="center"/>
    </xf>
    <xf numFmtId="4" fontId="15" fillId="0" borderId="84" xfId="0" applyNumberFormat="1" applyFont="1" applyBorder="1" applyAlignment="1">
      <alignment horizontal="center" vertical="center"/>
    </xf>
    <xf numFmtId="4" fontId="15" fillId="0" borderId="33" xfId="0" applyNumberFormat="1" applyFont="1" applyBorder="1" applyAlignment="1">
      <alignment horizontal="center" vertical="center"/>
    </xf>
    <xf numFmtId="244" fontId="15" fillId="0" borderId="33" xfId="0" applyNumberFormat="1" applyFont="1" applyBorder="1" applyAlignment="1">
      <alignment horizontal="center" vertical="center"/>
    </xf>
    <xf numFmtId="244" fontId="145" fillId="0" borderId="83" xfId="0" applyNumberFormat="1" applyFont="1" applyBorder="1" applyAlignment="1">
      <alignment horizontal="center" vertical="center"/>
    </xf>
    <xf numFmtId="0" fontId="14" fillId="85" borderId="68" xfId="0" applyFont="1" applyFill="1" applyBorder="1" applyAlignment="1">
      <alignment horizontal="center" vertical="center"/>
    </xf>
    <xf numFmtId="0" fontId="14" fillId="85" borderId="69" xfId="0" applyFont="1" applyFill="1" applyBorder="1" applyAlignment="1">
      <alignment horizontal="center" vertical="center"/>
    </xf>
    <xf numFmtId="0" fontId="14" fillId="85" borderId="70" xfId="0" applyFont="1" applyFill="1" applyBorder="1" applyAlignment="1">
      <alignment horizontal="center" vertical="center"/>
    </xf>
    <xf numFmtId="3" fontId="14" fillId="85" borderId="68" xfId="0" applyNumberFormat="1" applyFont="1" applyFill="1" applyBorder="1" applyAlignment="1">
      <alignment horizontal="center" vertical="center"/>
    </xf>
    <xf numFmtId="3" fontId="14" fillId="85" borderId="69" xfId="0" applyNumberFormat="1" applyFont="1" applyFill="1" applyBorder="1" applyAlignment="1">
      <alignment horizontal="center" vertical="center"/>
    </xf>
    <xf numFmtId="3" fontId="14" fillId="85" borderId="70" xfId="0" applyNumberFormat="1" applyFont="1" applyFill="1" applyBorder="1" applyAlignment="1">
      <alignment horizontal="center" vertical="center"/>
    </xf>
    <xf numFmtId="4" fontId="14" fillId="85" borderId="68" xfId="0" applyNumberFormat="1" applyFont="1" applyFill="1" applyBorder="1" applyAlignment="1">
      <alignment horizontal="center" vertical="center"/>
    </xf>
    <xf numFmtId="4" fontId="14" fillId="85" borderId="69" xfId="0" applyNumberFormat="1" applyFont="1" applyFill="1" applyBorder="1" applyAlignment="1">
      <alignment horizontal="center" vertical="center"/>
    </xf>
    <xf numFmtId="4" fontId="14" fillId="85" borderId="70" xfId="0" applyNumberFormat="1" applyFont="1" applyFill="1" applyBorder="1" applyAlignment="1">
      <alignment horizontal="center" vertical="center"/>
    </xf>
    <xf numFmtId="244" fontId="14" fillId="85" borderId="68" xfId="0" applyNumberFormat="1" applyFont="1" applyFill="1" applyBorder="1" applyAlignment="1">
      <alignment horizontal="center" vertical="center"/>
    </xf>
    <xf numFmtId="244" fontId="14" fillId="85" borderId="69" xfId="0" applyNumberFormat="1" applyFont="1" applyFill="1" applyBorder="1" applyAlignment="1">
      <alignment horizontal="center" vertical="center"/>
    </xf>
    <xf numFmtId="244" fontId="14" fillId="85" borderId="70" xfId="0" applyNumberFormat="1" applyFont="1" applyFill="1" applyBorder="1" applyAlignment="1">
      <alignment horizontal="center" vertical="center"/>
    </xf>
    <xf numFmtId="0" fontId="144" fillId="86" borderId="29" xfId="0" applyFont="1" applyFill="1" applyBorder="1" applyAlignment="1">
      <alignment horizontal="center" vertical="center"/>
    </xf>
    <xf numFmtId="0" fontId="144" fillId="86" borderId="72" xfId="0" applyFont="1" applyFill="1" applyBorder="1" applyAlignment="1">
      <alignment horizontal="center" vertical="center"/>
    </xf>
    <xf numFmtId="0" fontId="144" fillId="86" borderId="73" xfId="0" applyFont="1" applyFill="1" applyBorder="1" applyAlignment="1">
      <alignment horizontal="center" vertical="center"/>
    </xf>
    <xf numFmtId="0" fontId="145" fillId="0" borderId="29" xfId="0" applyFont="1" applyBorder="1" applyAlignment="1">
      <alignment horizontal="center" vertical="center"/>
    </xf>
    <xf numFmtId="0" fontId="145" fillId="0" borderId="72" xfId="0" applyFont="1" applyBorder="1" applyAlignment="1">
      <alignment horizontal="center" vertical="center"/>
    </xf>
    <xf numFmtId="0" fontId="145" fillId="0" borderId="73" xfId="0" applyFont="1" applyBorder="1" applyAlignment="1">
      <alignment horizontal="center" vertical="center"/>
    </xf>
    <xf numFmtId="1" fontId="145" fillId="0" borderId="72" xfId="0" applyNumberFormat="1" applyFont="1" applyBorder="1" applyAlignment="1">
      <alignment horizontal="center" vertical="center"/>
    </xf>
    <xf numFmtId="1" fontId="145" fillId="0" borderId="73" xfId="0" applyNumberFormat="1" applyFont="1" applyBorder="1" applyAlignment="1">
      <alignment horizontal="center" vertical="center"/>
    </xf>
    <xf numFmtId="0" fontId="144" fillId="0" borderId="29" xfId="0" applyFont="1" applyBorder="1" applyAlignment="1">
      <alignment horizontal="center" vertical="center"/>
    </xf>
    <xf numFmtId="0" fontId="144" fillId="0" borderId="72" xfId="0" applyFont="1" applyBorder="1" applyAlignment="1">
      <alignment horizontal="center" vertical="center"/>
    </xf>
    <xf numFmtId="3" fontId="145" fillId="0" borderId="73" xfId="0" applyNumberFormat="1" applyFont="1" applyBorder="1" applyAlignment="1">
      <alignment horizontal="center" vertical="center"/>
    </xf>
    <xf numFmtId="2" fontId="145" fillId="0" borderId="29" xfId="0" applyNumberFormat="1" applyFont="1" applyBorder="1" applyAlignment="1">
      <alignment horizontal="center" vertical="center"/>
    </xf>
    <xf numFmtId="2" fontId="145" fillId="0" borderId="72" xfId="0" applyNumberFormat="1" applyFont="1" applyBorder="1" applyAlignment="1">
      <alignment horizontal="center" vertical="center"/>
    </xf>
    <xf numFmtId="2" fontId="145" fillId="0" borderId="73" xfId="0" applyNumberFormat="1" applyFont="1" applyBorder="1" applyAlignment="1">
      <alignment horizontal="center" vertical="center"/>
    </xf>
    <xf numFmtId="4" fontId="145" fillId="0" borderId="29" xfId="0" applyNumberFormat="1" applyFont="1" applyBorder="1" applyAlignment="1">
      <alignment horizontal="center" vertical="center"/>
    </xf>
    <xf numFmtId="244" fontId="145" fillId="0" borderId="29" xfId="0" applyNumberFormat="1" applyFont="1" applyBorder="1" applyAlignment="1">
      <alignment horizontal="center" vertical="center"/>
    </xf>
    <xf numFmtId="244" fontId="145" fillId="0" borderId="72" xfId="0" applyNumberFormat="1" applyFont="1" applyBorder="1" applyAlignment="1">
      <alignment horizontal="center" vertical="center"/>
    </xf>
    <xf numFmtId="244" fontId="145" fillId="0" borderId="73" xfId="0" applyNumberFormat="1" applyFont="1" applyBorder="1" applyAlignment="1">
      <alignment horizontal="center" vertical="center"/>
    </xf>
    <xf numFmtId="0" fontId="144" fillId="0" borderId="82" xfId="0" applyFont="1" applyBorder="1" applyAlignment="1">
      <alignment horizontal="center" vertical="center"/>
    </xf>
    <xf numFmtId="1" fontId="145" fillId="0" borderId="9" xfId="0" applyNumberFormat="1" applyFont="1" applyBorder="1" applyAlignment="1">
      <alignment horizontal="center" vertical="center"/>
    </xf>
    <xf numFmtId="2" fontId="145" fillId="0" borderId="82" xfId="0" applyNumberFormat="1" applyFont="1" applyBorder="1" applyAlignment="1">
      <alignment horizontal="center" vertical="center"/>
    </xf>
    <xf numFmtId="2" fontId="145" fillId="0" borderId="9" xfId="0" applyNumberFormat="1" applyFont="1" applyBorder="1" applyAlignment="1">
      <alignment horizontal="center" vertical="center"/>
    </xf>
    <xf numFmtId="2" fontId="145" fillId="0" borderId="81" xfId="0" applyNumberFormat="1" applyFont="1" applyBorder="1" applyAlignment="1">
      <alignment horizontal="center" vertical="center"/>
    </xf>
    <xf numFmtId="2" fontId="145" fillId="86" borderId="82" xfId="0" applyNumberFormat="1" applyFont="1" applyFill="1" applyBorder="1" applyAlignment="1">
      <alignment horizontal="center" vertical="center"/>
    </xf>
    <xf numFmtId="2" fontId="145" fillId="86" borderId="9" xfId="0" applyNumberFormat="1" applyFont="1" applyFill="1" applyBorder="1" applyAlignment="1">
      <alignment horizontal="center" vertical="center"/>
    </xf>
    <xf numFmtId="244" fontId="145" fillId="86" borderId="82" xfId="0" applyNumberFormat="1" applyFont="1" applyFill="1" applyBorder="1" applyAlignment="1">
      <alignment horizontal="center" vertical="center"/>
    </xf>
    <xf numFmtId="2" fontId="15" fillId="86" borderId="82" xfId="0" applyNumberFormat="1" applyFont="1" applyFill="1" applyBorder="1" applyAlignment="1">
      <alignment horizontal="center" vertical="center"/>
    </xf>
    <xf numFmtId="2" fontId="15" fillId="86" borderId="9" xfId="0" applyNumberFormat="1" applyFont="1" applyFill="1" applyBorder="1" applyAlignment="1">
      <alignment horizontal="center" vertical="center"/>
    </xf>
    <xf numFmtId="244" fontId="15" fillId="86" borderId="82" xfId="0" applyNumberFormat="1" applyFont="1" applyFill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5" fillId="0" borderId="81" xfId="0" applyFont="1" applyBorder="1" applyAlignment="1">
      <alignment horizontal="center" vertical="center"/>
    </xf>
    <xf numFmtId="2" fontId="15" fillId="0" borderId="82" xfId="0" applyNumberFormat="1" applyFont="1" applyBorder="1" applyAlignment="1">
      <alignment horizontal="center" vertical="center"/>
    </xf>
    <xf numFmtId="2" fontId="15" fillId="0" borderId="9" xfId="0" applyNumberFormat="1" applyFont="1" applyBorder="1" applyAlignment="1">
      <alignment horizontal="center" vertical="center"/>
    </xf>
    <xf numFmtId="244" fontId="15" fillId="0" borderId="82" xfId="0" applyNumberFormat="1" applyFont="1" applyBorder="1" applyAlignment="1">
      <alignment horizontal="center" vertical="center"/>
    </xf>
    <xf numFmtId="244" fontId="15" fillId="0" borderId="9" xfId="0" applyNumberFormat="1" applyFont="1" applyBorder="1" applyAlignment="1">
      <alignment horizontal="center" vertical="center"/>
    </xf>
    <xf numFmtId="0" fontId="144" fillId="0" borderId="75" xfId="0" applyFont="1" applyBorder="1" applyAlignment="1">
      <alignment horizontal="center" vertical="center"/>
    </xf>
    <xf numFmtId="0" fontId="144" fillId="0" borderId="76" xfId="0" applyFont="1" applyBorder="1" applyAlignment="1">
      <alignment horizontal="center" vertical="center"/>
    </xf>
    <xf numFmtId="0" fontId="144" fillId="0" borderId="77" xfId="0" applyFont="1" applyBorder="1" applyAlignment="1">
      <alignment horizontal="center" vertical="center"/>
    </xf>
    <xf numFmtId="0" fontId="145" fillId="0" borderId="75" xfId="0" applyFont="1" applyBorder="1" applyAlignment="1">
      <alignment horizontal="center" vertical="center"/>
    </xf>
    <xf numFmtId="0" fontId="15" fillId="0" borderId="76" xfId="0" applyFont="1" applyBorder="1" applyAlignment="1">
      <alignment horizontal="center" vertical="center"/>
    </xf>
    <xf numFmtId="0" fontId="15" fillId="0" borderId="77" xfId="0" applyFont="1" applyBorder="1" applyAlignment="1">
      <alignment horizontal="center" vertical="center"/>
    </xf>
    <xf numFmtId="1" fontId="145" fillId="0" borderId="76" xfId="0" applyNumberFormat="1" applyFont="1" applyBorder="1" applyAlignment="1">
      <alignment horizontal="center" vertical="center"/>
    </xf>
    <xf numFmtId="1" fontId="145" fillId="0" borderId="77" xfId="0" applyNumberFormat="1" applyFont="1" applyBorder="1" applyAlignment="1">
      <alignment horizontal="center" vertical="center"/>
    </xf>
    <xf numFmtId="0" fontId="144" fillId="86" borderId="75" xfId="0" applyFont="1" applyFill="1" applyBorder="1" applyAlignment="1">
      <alignment horizontal="center" vertical="center"/>
    </xf>
    <xf numFmtId="0" fontId="144" fillId="86" borderId="76" xfId="0" applyFont="1" applyFill="1" applyBorder="1" applyAlignment="1">
      <alignment horizontal="center" vertical="center"/>
    </xf>
    <xf numFmtId="3" fontId="145" fillId="0" borderId="77" xfId="0" applyNumberFormat="1" applyFont="1" applyBorder="1" applyAlignment="1">
      <alignment horizontal="center" vertical="center"/>
    </xf>
    <xf numFmtId="2" fontId="15" fillId="0" borderId="75" xfId="0" applyNumberFormat="1" applyFont="1" applyBorder="1" applyAlignment="1">
      <alignment horizontal="center" vertical="center"/>
    </xf>
    <xf numFmtId="2" fontId="15" fillId="0" borderId="76" xfId="0" applyNumberFormat="1" applyFont="1" applyBorder="1" applyAlignment="1">
      <alignment horizontal="center" vertical="center"/>
    </xf>
    <xf numFmtId="2" fontId="145" fillId="0" borderId="77" xfId="0" applyNumberFormat="1" applyFont="1" applyBorder="1" applyAlignment="1">
      <alignment horizontal="center" vertical="center"/>
    </xf>
    <xf numFmtId="4" fontId="145" fillId="0" borderId="75" xfId="0" applyNumberFormat="1" applyFont="1" applyBorder="1" applyAlignment="1">
      <alignment horizontal="center" vertical="center"/>
    </xf>
    <xf numFmtId="244" fontId="15" fillId="0" borderId="75" xfId="0" applyNumberFormat="1" applyFont="1" applyBorder="1" applyAlignment="1">
      <alignment horizontal="center" vertical="center"/>
    </xf>
    <xf numFmtId="244" fontId="15" fillId="0" borderId="76" xfId="0" applyNumberFormat="1" applyFont="1" applyBorder="1" applyAlignment="1">
      <alignment horizontal="center" vertical="center"/>
    </xf>
    <xf numFmtId="244" fontId="145" fillId="0" borderId="77" xfId="0" applyNumberFormat="1" applyFont="1" applyBorder="1" applyAlignment="1">
      <alignment horizontal="center" vertical="center"/>
    </xf>
    <xf numFmtId="2" fontId="14" fillId="85" borderId="68" xfId="0" applyNumberFormat="1" applyFont="1" applyFill="1" applyBorder="1" applyAlignment="1">
      <alignment horizontal="center" vertical="center"/>
    </xf>
    <xf numFmtId="2" fontId="14" fillId="85" borderId="69" xfId="0" applyNumberFormat="1" applyFont="1" applyFill="1" applyBorder="1" applyAlignment="1">
      <alignment horizontal="center" vertical="center"/>
    </xf>
    <xf numFmtId="2" fontId="14" fillId="85" borderId="70" xfId="0" applyNumberFormat="1" applyFont="1" applyFill="1" applyBorder="1" applyAlignment="1">
      <alignment horizontal="center" vertical="center"/>
    </xf>
    <xf numFmtId="1" fontId="145" fillId="86" borderId="9" xfId="0" applyNumberFormat="1" applyFont="1" applyFill="1" applyBorder="1" applyAlignment="1">
      <alignment horizontal="center" vertical="center"/>
    </xf>
    <xf numFmtId="2" fontId="145" fillId="86" borderId="81" xfId="0" applyNumberFormat="1" applyFont="1" applyFill="1" applyBorder="1" applyAlignment="1">
      <alignment horizontal="center" vertical="center"/>
    </xf>
    <xf numFmtId="0" fontId="15" fillId="0" borderId="82" xfId="0" applyFont="1" applyBorder="1" applyAlignment="1">
      <alignment horizontal="center" vertical="center"/>
    </xf>
    <xf numFmtId="0" fontId="15" fillId="0" borderId="75" xfId="0" applyFont="1" applyBorder="1" applyAlignment="1">
      <alignment horizontal="center" vertical="center"/>
    </xf>
    <xf numFmtId="1" fontId="14" fillId="85" borderId="69" xfId="0" applyNumberFormat="1" applyFont="1" applyFill="1" applyBorder="1" applyAlignment="1">
      <alignment horizontal="center" vertical="center"/>
    </xf>
    <xf numFmtId="1" fontId="14" fillId="85" borderId="70" xfId="0" applyNumberFormat="1" applyFont="1" applyFill="1" applyBorder="1" applyAlignment="1">
      <alignment horizontal="center" vertical="center"/>
    </xf>
    <xf numFmtId="0" fontId="15" fillId="85" borderId="78" xfId="0" quotePrefix="1" applyFont="1" applyFill="1" applyBorder="1" applyAlignment="1">
      <alignment horizontal="center" vertical="center"/>
    </xf>
    <xf numFmtId="0" fontId="15" fillId="85" borderId="71" xfId="0" quotePrefix="1" applyFont="1" applyFill="1" applyBorder="1" applyAlignment="1">
      <alignment horizontal="center" vertical="center"/>
    </xf>
    <xf numFmtId="0" fontId="15" fillId="85" borderId="85" xfId="0" quotePrefix="1" applyFont="1" applyFill="1" applyBorder="1" applyAlignment="1">
      <alignment horizontal="center" vertical="center"/>
    </xf>
    <xf numFmtId="0" fontId="15" fillId="85" borderId="0" xfId="0" applyFont="1" applyFill="1" applyBorder="1" applyAlignment="1">
      <alignment horizontal="center" vertical="center"/>
    </xf>
    <xf numFmtId="0" fontId="14" fillId="85" borderId="92" xfId="0" applyFont="1" applyFill="1" applyBorder="1" applyAlignment="1">
      <alignment horizontal="center" vertical="center"/>
    </xf>
    <xf numFmtId="0" fontId="144" fillId="0" borderId="0" xfId="0" applyFont="1" applyAlignment="1">
      <alignment horizontal="right"/>
    </xf>
    <xf numFmtId="244" fontId="144" fillId="0" borderId="0" xfId="0" applyNumberFormat="1" applyFont="1"/>
    <xf numFmtId="0" fontId="1" fillId="0" borderId="0" xfId="0" applyFont="1" applyAlignment="1">
      <alignment horizontal="right"/>
    </xf>
    <xf numFmtId="173" fontId="38" fillId="0" borderId="9" xfId="815" applyNumberFormat="1" applyFont="1" applyFill="1" applyBorder="1" applyAlignment="1">
      <alignment horizontal="right"/>
    </xf>
    <xf numFmtId="173" fontId="38" fillId="0" borderId="9" xfId="815" applyNumberFormat="1" applyFont="1" applyBorder="1" applyAlignment="1">
      <alignment horizontal="right"/>
    </xf>
    <xf numFmtId="2" fontId="38" fillId="0" borderId="9" xfId="0" applyNumberFormat="1" applyFont="1" applyFill="1" applyBorder="1" applyAlignment="1">
      <alignment horizontal="right"/>
    </xf>
    <xf numFmtId="0" fontId="38" fillId="0" borderId="9" xfId="0" applyFont="1" applyFill="1" applyBorder="1"/>
    <xf numFmtId="2" fontId="38" fillId="0" borderId="9" xfId="0" applyNumberFormat="1" applyFont="1" applyFill="1" applyBorder="1"/>
    <xf numFmtId="3" fontId="38" fillId="0" borderId="9" xfId="0" applyNumberFormat="1" applyFont="1" applyFill="1" applyBorder="1"/>
    <xf numFmtId="168" fontId="38" fillId="0" borderId="9" xfId="815" applyNumberFormat="1" applyFont="1" applyFill="1" applyBorder="1" applyAlignment="1">
      <alignment horizontal="right"/>
    </xf>
    <xf numFmtId="0" fontId="114" fillId="0" borderId="0" xfId="0" applyFont="1" applyFill="1" applyAlignment="1">
      <alignment horizontal="left"/>
    </xf>
    <xf numFmtId="0" fontId="38" fillId="0" borderId="0" xfId="0" applyFont="1" applyFill="1"/>
    <xf numFmtId="0" fontId="38" fillId="0" borderId="0" xfId="0" applyFont="1" applyFill="1" applyAlignment="1">
      <alignment horizontal="left"/>
    </xf>
    <xf numFmtId="171" fontId="38" fillId="0" borderId="9" xfId="0" applyNumberFormat="1" applyFont="1" applyFill="1" applyBorder="1" applyAlignment="1">
      <alignment horizontal="center"/>
    </xf>
    <xf numFmtId="10" fontId="38" fillId="0" borderId="9" xfId="581" applyNumberFormat="1" applyFont="1" applyFill="1" applyBorder="1" applyAlignment="1">
      <alignment horizontal="center"/>
    </xf>
    <xf numFmtId="0" fontId="38" fillId="0" borderId="9" xfId="0" applyFont="1" applyFill="1" applyBorder="1" applyAlignment="1">
      <alignment horizontal="center" vertical="center" wrapText="1"/>
    </xf>
    <xf numFmtId="0" fontId="38" fillId="0" borderId="9" xfId="526" applyFont="1" applyFill="1" applyBorder="1" applyAlignment="1">
      <alignment horizontal="center"/>
    </xf>
    <xf numFmtId="2" fontId="38" fillId="0" borderId="9" xfId="0" applyNumberFormat="1" applyFont="1" applyFill="1" applyBorder="1" applyAlignment="1">
      <alignment horizontal="center"/>
    </xf>
    <xf numFmtId="3" fontId="38" fillId="0" borderId="9" xfId="0" applyNumberFormat="1" applyFont="1" applyFill="1" applyBorder="1" applyAlignment="1">
      <alignment horizontal="center"/>
    </xf>
    <xf numFmtId="0" fontId="114" fillId="0" borderId="9" xfId="0" applyFont="1" applyFill="1" applyBorder="1" applyAlignment="1">
      <alignment horizontal="center" vertical="center" wrapText="1"/>
    </xf>
    <xf numFmtId="174" fontId="38" fillId="0" borderId="9" xfId="0" applyNumberFormat="1" applyFont="1" applyFill="1" applyBorder="1" applyAlignment="1">
      <alignment horizontal="center"/>
    </xf>
    <xf numFmtId="173" fontId="38" fillId="0" borderId="0" xfId="815" applyNumberFormat="1" applyFont="1" applyFill="1"/>
    <xf numFmtId="168" fontId="38" fillId="0" borderId="0" xfId="0" applyNumberFormat="1" applyFont="1" applyFill="1"/>
    <xf numFmtId="1" fontId="114" fillId="0" borderId="0" xfId="0" applyNumberFormat="1" applyFont="1" applyFill="1" applyAlignment="1">
      <alignment horizontal="center"/>
    </xf>
    <xf numFmtId="0" fontId="38" fillId="0" borderId="9" xfId="0" applyFont="1" applyFill="1" applyBorder="1" applyAlignment="1">
      <alignment horizontal="center"/>
    </xf>
    <xf numFmtId="0" fontId="38" fillId="0" borderId="9" xfId="0" applyFont="1" applyFill="1" applyBorder="1" applyAlignment="1">
      <alignment wrapText="1"/>
    </xf>
    <xf numFmtId="0" fontId="114" fillId="0" borderId="0" xfId="0" applyFont="1" applyFill="1"/>
    <xf numFmtId="4" fontId="38" fillId="0" borderId="9" xfId="0" applyNumberFormat="1" applyFont="1" applyFill="1" applyBorder="1" applyAlignment="1">
      <alignment horizontal="center"/>
    </xf>
    <xf numFmtId="0" fontId="38" fillId="0" borderId="0" xfId="0" applyFont="1" applyFill="1" applyAlignment="1">
      <alignment wrapText="1"/>
    </xf>
    <xf numFmtId="172" fontId="38" fillId="0" borderId="9" xfId="0" applyNumberFormat="1" applyFont="1" applyFill="1" applyBorder="1" applyAlignment="1">
      <alignment horizontal="center" vertical="center"/>
    </xf>
    <xf numFmtId="4" fontId="38" fillId="0" borderId="9" xfId="0" applyNumberFormat="1" applyFont="1" applyFill="1" applyBorder="1" applyAlignment="1">
      <alignment horizontal="center" vertical="center"/>
    </xf>
    <xf numFmtId="4" fontId="114" fillId="0" borderId="0" xfId="0" applyNumberFormat="1" applyFont="1" applyFill="1" applyAlignment="1">
      <alignment horizontal="center"/>
    </xf>
    <xf numFmtId="4" fontId="38" fillId="0" borderId="0" xfId="0" applyNumberFormat="1" applyFont="1" applyFill="1"/>
    <xf numFmtId="43" fontId="38" fillId="0" borderId="0" xfId="0" applyNumberFormat="1" applyFont="1" applyFill="1"/>
    <xf numFmtId="3" fontId="38" fillId="0" borderId="0" xfId="0" applyNumberFormat="1" applyFont="1" applyFill="1" applyAlignment="1">
      <alignment horizontal="left"/>
    </xf>
    <xf numFmtId="3" fontId="38" fillId="0" borderId="0" xfId="0" applyNumberFormat="1" applyFont="1" applyFill="1"/>
    <xf numFmtId="3" fontId="38" fillId="0" borderId="0" xfId="0" applyNumberFormat="1" applyFont="1" applyFill="1" applyAlignment="1">
      <alignment horizontal="center"/>
    </xf>
    <xf numFmtId="9" fontId="38" fillId="0" borderId="0" xfId="581" applyFont="1" applyFill="1" applyBorder="1" applyAlignment="1">
      <alignment horizontal="center"/>
    </xf>
    <xf numFmtId="175" fontId="114" fillId="0" borderId="33" xfId="0" applyNumberFormat="1" applyFont="1" applyFill="1" applyBorder="1" applyAlignment="1">
      <alignment horizontal="center"/>
    </xf>
    <xf numFmtId="0" fontId="38" fillId="0" borderId="0" xfId="0" applyFont="1" applyFill="1" applyAlignment="1">
      <alignment horizontal="center"/>
    </xf>
    <xf numFmtId="0" fontId="38" fillId="0" borderId="0" xfId="526" applyFont="1" applyFill="1"/>
    <xf numFmtId="0" fontId="114" fillId="0" borderId="0" xfId="526" applyFont="1" applyFill="1"/>
    <xf numFmtId="0" fontId="115" fillId="0" borderId="0" xfId="526" applyFont="1" applyFill="1"/>
    <xf numFmtId="0" fontId="114" fillId="0" borderId="0" xfId="526" applyFont="1" applyFill="1" applyAlignment="1">
      <alignment horizontal="center"/>
    </xf>
    <xf numFmtId="175" fontId="114" fillId="0" borderId="9" xfId="0" applyNumberFormat="1" applyFont="1" applyFill="1" applyBorder="1" applyAlignment="1">
      <alignment horizontal="center"/>
    </xf>
    <xf numFmtId="0" fontId="38" fillId="0" borderId="9" xfId="526" applyFont="1" applyFill="1" applyBorder="1"/>
    <xf numFmtId="4" fontId="38" fillId="0" borderId="9" xfId="526" applyNumberFormat="1" applyFont="1" applyFill="1" applyBorder="1" applyAlignment="1">
      <alignment horizontal="center"/>
    </xf>
    <xf numFmtId="3" fontId="38" fillId="0" borderId="9" xfId="526" applyNumberFormat="1" applyFont="1" applyFill="1" applyBorder="1" applyAlignment="1">
      <alignment horizontal="center"/>
    </xf>
    <xf numFmtId="10" fontId="38" fillId="0" borderId="9" xfId="584" applyNumberFormat="1" applyFont="1" applyFill="1" applyBorder="1" applyAlignment="1">
      <alignment horizontal="center"/>
    </xf>
    <xf numFmtId="0" fontId="56" fillId="0" borderId="9" xfId="0" applyFont="1" applyFill="1" applyBorder="1"/>
    <xf numFmtId="4" fontId="63" fillId="0" borderId="9" xfId="815" applyNumberFormat="1" applyFont="1" applyFill="1" applyBorder="1" applyAlignment="1">
      <alignment horizontal="center"/>
    </xf>
    <xf numFmtId="3" fontId="56" fillId="0" borderId="9" xfId="0" applyNumberFormat="1" applyFont="1" applyFill="1" applyBorder="1" applyAlignment="1">
      <alignment horizontal="center"/>
    </xf>
    <xf numFmtId="0" fontId="63" fillId="0" borderId="0" xfId="0" applyFont="1" applyFill="1"/>
    <xf numFmtId="0" fontId="62" fillId="0" borderId="0" xfId="0" applyFont="1" applyFill="1"/>
    <xf numFmtId="0" fontId="0" fillId="0" borderId="0" xfId="0" applyFill="1" applyAlignment="1">
      <alignment horizontal="center" vertical="center"/>
    </xf>
    <xf numFmtId="0" fontId="0" fillId="0" borderId="0" xfId="0" applyFill="1"/>
    <xf numFmtId="4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0" fontId="117" fillId="0" borderId="0" xfId="0" applyFont="1" applyFill="1" applyAlignment="1">
      <alignment horizontal="center"/>
    </xf>
    <xf numFmtId="3" fontId="38" fillId="0" borderId="9" xfId="0" applyNumberFormat="1" applyFont="1" applyFill="1" applyBorder="1" applyAlignment="1" applyProtection="1">
      <alignment horizontal="center" vertical="center"/>
      <protection locked="0"/>
    </xf>
    <xf numFmtId="49" fontId="38" fillId="0" borderId="9" xfId="0" applyNumberFormat="1" applyFont="1" applyFill="1" applyBorder="1" applyAlignment="1">
      <alignment horizontal="center"/>
    </xf>
    <xf numFmtId="3" fontId="38" fillId="0" borderId="46" xfId="0" applyNumberFormat="1" applyFont="1" applyFill="1" applyBorder="1" applyAlignment="1" applyProtection="1">
      <alignment horizontal="center" vertical="center"/>
      <protection locked="0"/>
    </xf>
    <xf numFmtId="3" fontId="38" fillId="0" borderId="50" xfId="0" applyNumberFormat="1" applyFont="1" applyFill="1" applyBorder="1" applyAlignment="1" applyProtection="1">
      <alignment horizontal="center" vertical="center"/>
      <protection locked="0"/>
    </xf>
    <xf numFmtId="0" fontId="38" fillId="0" borderId="42" xfId="0" applyFont="1" applyFill="1" applyBorder="1"/>
    <xf numFmtId="0" fontId="114" fillId="0" borderId="9" xfId="526" applyFont="1" applyFill="1" applyBorder="1" applyAlignment="1">
      <alignment horizontal="left"/>
    </xf>
    <xf numFmtId="0" fontId="114" fillId="0" borderId="0" xfId="526" applyFont="1" applyFill="1" applyAlignment="1">
      <alignment horizontal="left"/>
    </xf>
    <xf numFmtId="39" fontId="38" fillId="0" borderId="9" xfId="815" applyNumberFormat="1" applyFont="1" applyFill="1" applyBorder="1" applyAlignment="1">
      <alignment horizontal="center"/>
    </xf>
    <xf numFmtId="0" fontId="38" fillId="0" borderId="0" xfId="526" applyFont="1" applyFill="1" applyAlignment="1">
      <alignment horizontal="left"/>
    </xf>
    <xf numFmtId="0" fontId="38" fillId="0" borderId="9" xfId="526" applyFont="1" applyFill="1" applyBorder="1" applyAlignment="1">
      <alignment horizontal="left"/>
    </xf>
    <xf numFmtId="9" fontId="38" fillId="0" borderId="0" xfId="0" applyNumberFormat="1" applyFont="1" applyFill="1" applyAlignment="1">
      <alignment horizontal="center"/>
    </xf>
    <xf numFmtId="0" fontId="38" fillId="0" borderId="9" xfId="526" applyFont="1" applyFill="1" applyBorder="1" applyAlignment="1">
      <alignment horizontal="center" vertical="top"/>
    </xf>
    <xf numFmtId="1" fontId="38" fillId="0" borderId="9" xfId="526" applyNumberFormat="1" applyFont="1" applyFill="1" applyBorder="1" applyAlignment="1">
      <alignment horizontal="center"/>
    </xf>
    <xf numFmtId="3" fontId="38" fillId="0" borderId="9" xfId="815" applyNumberFormat="1" applyFont="1" applyFill="1" applyBorder="1" applyAlignment="1">
      <alignment horizontal="center"/>
    </xf>
    <xf numFmtId="172" fontId="38" fillId="0" borderId="9" xfId="0" applyNumberFormat="1" applyFont="1" applyFill="1" applyBorder="1" applyAlignment="1">
      <alignment horizontal="center"/>
    </xf>
    <xf numFmtId="172" fontId="38" fillId="0" borderId="9" xfId="0" applyNumberFormat="1" applyFont="1" applyFill="1" applyBorder="1"/>
    <xf numFmtId="170" fontId="38" fillId="0" borderId="0" xfId="526" applyNumberFormat="1" applyFont="1" applyFill="1" applyAlignment="1">
      <alignment horizontal="center"/>
    </xf>
    <xf numFmtId="0" fontId="38" fillId="0" borderId="0" xfId="0" quotePrefix="1" applyFont="1" applyFill="1" applyAlignment="1">
      <alignment horizontal="center" vertical="center"/>
    </xf>
    <xf numFmtId="0" fontId="38" fillId="0" borderId="0" xfId="0" applyFont="1" applyFill="1" applyAlignment="1">
      <alignment horizontal="center" vertical="center"/>
    </xf>
    <xf numFmtId="0" fontId="56" fillId="0" borderId="0" xfId="0" quotePrefix="1" applyFont="1" applyFill="1" applyAlignment="1">
      <alignment horizontal="center" vertical="center"/>
    </xf>
    <xf numFmtId="0" fontId="56" fillId="0" borderId="0" xfId="0" applyFont="1" applyFill="1" applyAlignment="1">
      <alignment horizontal="center" vertical="center"/>
    </xf>
    <xf numFmtId="175" fontId="114" fillId="0" borderId="0" xfId="0" applyNumberFormat="1" applyFont="1" applyFill="1"/>
    <xf numFmtId="175" fontId="114" fillId="0" borderId="0" xfId="0" applyNumberFormat="1" applyFont="1" applyFill="1" applyAlignment="1">
      <alignment horizontal="center"/>
    </xf>
    <xf numFmtId="3" fontId="114" fillId="0" borderId="0" xfId="0" applyNumberFormat="1" applyFont="1" applyFill="1" applyAlignment="1">
      <alignment horizontal="center"/>
    </xf>
    <xf numFmtId="3" fontId="114" fillId="0" borderId="0" xfId="0" applyNumberFormat="1" applyFont="1" applyFill="1" applyAlignment="1">
      <alignment horizontal="left"/>
    </xf>
    <xf numFmtId="0" fontId="143" fillId="0" borderId="0" xfId="0" applyFont="1" applyFill="1"/>
    <xf numFmtId="9" fontId="38" fillId="0" borderId="9" xfId="0" applyNumberFormat="1" applyFont="1" applyFill="1" applyBorder="1" applyAlignment="1">
      <alignment horizontal="center" vertical="center"/>
    </xf>
    <xf numFmtId="0" fontId="38" fillId="0" borderId="9" xfId="0" applyFont="1" applyFill="1" applyBorder="1" applyAlignment="1">
      <alignment horizontal="center" vertical="center"/>
    </xf>
    <xf numFmtId="4" fontId="38" fillId="0" borderId="0" xfId="0" applyNumberFormat="1" applyFont="1" applyFill="1" applyAlignment="1">
      <alignment horizontal="center"/>
    </xf>
    <xf numFmtId="2" fontId="38" fillId="0" borderId="0" xfId="0" applyNumberFormat="1" applyFont="1" applyFill="1"/>
    <xf numFmtId="9" fontId="38" fillId="0" borderId="9" xfId="0" applyNumberFormat="1" applyFont="1" applyFill="1" applyBorder="1" applyAlignment="1">
      <alignment horizontal="center"/>
    </xf>
    <xf numFmtId="0" fontId="38" fillId="0" borderId="0" xfId="384" applyFont="1" applyFill="1"/>
    <xf numFmtId="3" fontId="38" fillId="0" borderId="0" xfId="384" applyNumberFormat="1" applyFont="1" applyFill="1"/>
    <xf numFmtId="0" fontId="114" fillId="0" borderId="0" xfId="384" applyFont="1" applyFill="1"/>
    <xf numFmtId="3" fontId="38" fillId="0" borderId="0" xfId="384" applyNumberFormat="1" applyFont="1" applyFill="1" applyAlignment="1">
      <alignment horizontal="center"/>
    </xf>
    <xf numFmtId="0" fontId="38" fillId="0" borderId="9" xfId="384" applyFont="1" applyFill="1" applyBorder="1"/>
    <xf numFmtId="3" fontId="38" fillId="0" borderId="9" xfId="384" applyNumberFormat="1" applyFont="1" applyFill="1" applyBorder="1"/>
    <xf numFmtId="0" fontId="38" fillId="0" borderId="0" xfId="527" applyNumberFormat="1" applyFont="1" applyFill="1"/>
    <xf numFmtId="3" fontId="38" fillId="0" borderId="0" xfId="527" applyNumberFormat="1" applyFont="1" applyFill="1"/>
    <xf numFmtId="3" fontId="114" fillId="0" borderId="0" xfId="527" applyNumberFormat="1" applyFont="1" applyFill="1"/>
    <xf numFmtId="0" fontId="114" fillId="0" borderId="0" xfId="525" applyFont="1" applyFill="1" applyAlignment="1">
      <alignment horizontal="left" vertical="center"/>
    </xf>
    <xf numFmtId="0" fontId="114" fillId="0" borderId="9" xfId="0" applyFont="1" applyFill="1" applyBorder="1"/>
    <xf numFmtId="1" fontId="114" fillId="0" borderId="9" xfId="0" applyNumberFormat="1" applyFont="1" applyFill="1" applyBorder="1" applyAlignment="1">
      <alignment horizontal="center"/>
    </xf>
    <xf numFmtId="0" fontId="38" fillId="0" borderId="9" xfId="527" applyNumberFormat="1" applyFont="1" applyFill="1" applyBorder="1"/>
    <xf numFmtId="3" fontId="38" fillId="0" borderId="9" xfId="0" applyNumberFormat="1" applyFont="1" applyFill="1" applyBorder="1" applyAlignment="1">
      <alignment horizontal="right"/>
    </xf>
    <xf numFmtId="3" fontId="38" fillId="0" borderId="9" xfId="0" applyNumberFormat="1" applyFont="1" applyFill="1" applyBorder="1" applyAlignment="1">
      <alignment horizontal="left"/>
    </xf>
    <xf numFmtId="0" fontId="114" fillId="0" borderId="9" xfId="0" applyFont="1" applyFill="1" applyBorder="1" applyAlignment="1">
      <alignment horizontal="right"/>
    </xf>
    <xf numFmtId="3" fontId="114" fillId="0" borderId="9" xfId="0" applyNumberFormat="1" applyFont="1" applyFill="1" applyBorder="1" applyAlignment="1">
      <alignment horizontal="right"/>
    </xf>
    <xf numFmtId="3" fontId="114" fillId="0" borderId="0" xfId="0" applyNumberFormat="1" applyFont="1" applyFill="1" applyAlignment="1">
      <alignment horizontal="right"/>
    </xf>
    <xf numFmtId="3" fontId="38" fillId="0" borderId="9" xfId="527" applyNumberFormat="1" applyFont="1" applyFill="1" applyBorder="1" applyAlignment="1">
      <alignment horizontal="right"/>
    </xf>
    <xf numFmtId="3" fontId="38" fillId="0" borderId="9" xfId="527" applyNumberFormat="1" applyFont="1" applyFill="1" applyBorder="1"/>
    <xf numFmtId="9" fontId="38" fillId="0" borderId="9" xfId="581" applyFont="1" applyFill="1" applyBorder="1"/>
    <xf numFmtId="3" fontId="38" fillId="0" borderId="0" xfId="527" applyNumberFormat="1" applyFont="1" applyFill="1" applyAlignment="1">
      <alignment horizontal="left" wrapText="1"/>
    </xf>
    <xf numFmtId="9" fontId="38" fillId="0" borderId="0" xfId="581" applyFont="1" applyFill="1"/>
    <xf numFmtId="0" fontId="114" fillId="0" borderId="0" xfId="0" applyFont="1" applyFill="1" applyAlignment="1">
      <alignment horizontal="left" vertical="center"/>
    </xf>
    <xf numFmtId="0" fontId="38" fillId="0" borderId="0" xfId="0" applyFont="1" applyFill="1" applyAlignment="1">
      <alignment vertical="center"/>
    </xf>
    <xf numFmtId="0" fontId="119" fillId="0" borderId="0" xfId="0" applyFont="1" applyFill="1" applyAlignment="1">
      <alignment horizontal="center" vertical="center"/>
    </xf>
    <xf numFmtId="0" fontId="119" fillId="0" borderId="0" xfId="0" applyFont="1" applyFill="1" applyAlignment="1">
      <alignment horizontal="center"/>
    </xf>
    <xf numFmtId="0" fontId="114" fillId="0" borderId="0" xfId="0" applyFont="1" applyFill="1" applyAlignment="1">
      <alignment horizontal="center" vertical="center" wrapText="1"/>
    </xf>
    <xf numFmtId="1" fontId="114" fillId="0" borderId="33" xfId="0" applyNumberFormat="1" applyFont="1" applyFill="1" applyBorder="1" applyAlignment="1">
      <alignment horizontal="center" vertical="center"/>
    </xf>
    <xf numFmtId="1" fontId="114" fillId="0" borderId="33" xfId="0" applyNumberFormat="1" applyFont="1" applyFill="1" applyBorder="1" applyAlignment="1">
      <alignment horizontal="center"/>
    </xf>
    <xf numFmtId="0" fontId="38" fillId="0" borderId="9" xfId="0" applyFont="1" applyFill="1" applyBorder="1" applyAlignment="1">
      <alignment horizontal="left" vertical="center" wrapText="1"/>
    </xf>
    <xf numFmtId="3" fontId="38" fillId="0" borderId="9" xfId="0" applyNumberFormat="1" applyFont="1" applyFill="1" applyBorder="1" applyAlignment="1">
      <alignment horizontal="center" vertical="center"/>
    </xf>
    <xf numFmtId="0" fontId="114" fillId="0" borderId="9" xfId="0" applyFont="1" applyFill="1" applyBorder="1" applyAlignment="1">
      <alignment horizontal="left" vertical="center" wrapText="1"/>
    </xf>
    <xf numFmtId="3" fontId="114" fillId="0" borderId="9" xfId="0" applyNumberFormat="1" applyFont="1" applyFill="1" applyBorder="1" applyAlignment="1">
      <alignment horizontal="center" vertical="center"/>
    </xf>
    <xf numFmtId="3" fontId="38" fillId="0" borderId="0" xfId="0" applyNumberFormat="1" applyFont="1" applyFill="1" applyAlignment="1">
      <alignment horizontal="center" vertical="center"/>
    </xf>
    <xf numFmtId="0" fontId="38" fillId="0" borderId="9" xfId="0" applyFont="1" applyFill="1" applyBorder="1" applyAlignment="1">
      <alignment horizontal="left" vertical="center"/>
    </xf>
    <xf numFmtId="0" fontId="114" fillId="0" borderId="0" xfId="0" applyFont="1" applyFill="1" applyAlignment="1">
      <alignment vertical="center"/>
    </xf>
    <xf numFmtId="10" fontId="114" fillId="0" borderId="0" xfId="0" applyNumberFormat="1" applyFont="1" applyFill="1" applyAlignment="1">
      <alignment horizontal="center" vertical="center"/>
    </xf>
    <xf numFmtId="0" fontId="114" fillId="0" borderId="0" xfId="0" applyFont="1" applyFill="1" applyAlignment="1">
      <alignment horizontal="center" vertical="center"/>
    </xf>
    <xf numFmtId="4" fontId="114" fillId="0" borderId="0" xfId="0" applyNumberFormat="1" applyFont="1" applyFill="1" applyAlignment="1">
      <alignment horizontal="center" vertical="center"/>
    </xf>
    <xf numFmtId="3" fontId="114" fillId="0" borderId="0" xfId="0" applyNumberFormat="1" applyFont="1" applyFill="1" applyAlignment="1">
      <alignment horizontal="center" vertical="center"/>
    </xf>
    <xf numFmtId="0" fontId="38" fillId="0" borderId="0" xfId="0" applyFont="1" applyFill="1" applyAlignment="1">
      <alignment horizontal="left" vertical="center"/>
    </xf>
    <xf numFmtId="0" fontId="2" fillId="0" borderId="9" xfId="429" applyFill="1" applyBorder="1" applyAlignment="1">
      <alignment horizontal="left" vertical="center"/>
    </xf>
    <xf numFmtId="0" fontId="1" fillId="0" borderId="9" xfId="429" applyFont="1" applyFill="1" applyBorder="1" applyAlignment="1">
      <alignment horizontal="left" vertical="center"/>
    </xf>
    <xf numFmtId="3" fontId="38" fillId="0" borderId="0" xfId="0" applyNumberFormat="1" applyFont="1" applyFill="1" applyAlignment="1">
      <alignment horizontal="left" vertical="center"/>
    </xf>
    <xf numFmtId="0" fontId="114" fillId="0" borderId="9" xfId="0" applyFont="1" applyFill="1" applyBorder="1" applyAlignment="1">
      <alignment horizontal="left" indent="1"/>
    </xf>
    <xf numFmtId="0" fontId="38" fillId="0" borderId="9" xfId="0" applyFont="1" applyFill="1" applyBorder="1" applyAlignment="1">
      <alignment horizontal="left" indent="2"/>
    </xf>
    <xf numFmtId="3" fontId="38" fillId="0" borderId="9" xfId="0" applyNumberFormat="1" applyFont="1" applyFill="1" applyBorder="1" applyAlignment="1">
      <alignment horizontal="left" indent="2"/>
    </xf>
    <xf numFmtId="164" fontId="114" fillId="0" borderId="9" xfId="0" applyNumberFormat="1" applyFont="1" applyFill="1" applyBorder="1"/>
    <xf numFmtId="8" fontId="114" fillId="0" borderId="0" xfId="581" applyNumberFormat="1" applyFont="1" applyFill="1" applyBorder="1" applyAlignment="1">
      <alignment horizontal="center"/>
    </xf>
    <xf numFmtId="0" fontId="114" fillId="0" borderId="23" xfId="0" applyFont="1" applyFill="1" applyBorder="1" applyAlignment="1">
      <alignment horizontal="left" vertical="center" wrapText="1"/>
    </xf>
    <xf numFmtId="3" fontId="38" fillId="0" borderId="23" xfId="0" applyNumberFormat="1" applyFont="1" applyFill="1" applyBorder="1" applyAlignment="1">
      <alignment horizontal="center" vertical="center"/>
    </xf>
    <xf numFmtId="9" fontId="38" fillId="0" borderId="0" xfId="581" applyFont="1"/>
    <xf numFmtId="9" fontId="38" fillId="0" borderId="0" xfId="581" applyNumberFormat="1" applyFont="1"/>
    <xf numFmtId="0" fontId="38" fillId="0" borderId="0" xfId="0" applyFont="1" applyAlignment="1">
      <alignment horizontal="left"/>
    </xf>
    <xf numFmtId="0" fontId="38" fillId="0" borderId="32" xfId="0" applyFont="1" applyBorder="1" applyAlignment="1">
      <alignment horizontal="left"/>
    </xf>
    <xf numFmtId="0" fontId="38" fillId="0" borderId="9" xfId="0" applyFont="1" applyBorder="1" applyAlignment="1">
      <alignment horizontal="center" vertical="center" wrapText="1"/>
    </xf>
    <xf numFmtId="0" fontId="38" fillId="0" borderId="9" xfId="0" applyFont="1" applyBorder="1" applyAlignment="1">
      <alignment horizontal="center" vertical="center"/>
    </xf>
    <xf numFmtId="0" fontId="38" fillId="0" borderId="9" xfId="0" applyFont="1" applyFill="1" applyBorder="1" applyAlignment="1">
      <alignment horizontal="center"/>
    </xf>
    <xf numFmtId="0" fontId="38" fillId="0" borderId="9" xfId="0" applyFont="1" applyFill="1" applyBorder="1" applyAlignment="1">
      <alignment horizontal="center" vertical="center" wrapText="1"/>
    </xf>
    <xf numFmtId="0" fontId="114" fillId="0" borderId="0" xfId="0" applyFont="1" applyFill="1" applyAlignment="1">
      <alignment horizontal="left"/>
    </xf>
    <xf numFmtId="3" fontId="38" fillId="0" borderId="33" xfId="526" applyNumberFormat="1" applyFont="1" applyFill="1" applyBorder="1" applyAlignment="1">
      <alignment horizontal="center" vertical="center"/>
    </xf>
    <xf numFmtId="3" fontId="38" fillId="0" borderId="49" xfId="526" applyNumberFormat="1" applyFont="1" applyFill="1" applyBorder="1" applyAlignment="1">
      <alignment horizontal="center" vertical="center"/>
    </xf>
    <xf numFmtId="3" fontId="38" fillId="0" borderId="52" xfId="526" applyNumberFormat="1" applyFont="1" applyFill="1" applyBorder="1" applyAlignment="1">
      <alignment horizontal="center" vertical="center"/>
    </xf>
    <xf numFmtId="0" fontId="114" fillId="0" borderId="42" xfId="0" applyFont="1" applyFill="1" applyBorder="1" applyAlignment="1">
      <alignment horizontal="center"/>
    </xf>
    <xf numFmtId="0" fontId="114" fillId="0" borderId="9" xfId="0" applyFont="1" applyFill="1" applyBorder="1" applyAlignment="1">
      <alignment horizontal="center" vertical="center" wrapText="1"/>
    </xf>
    <xf numFmtId="0" fontId="114" fillId="0" borderId="9" xfId="0" applyFont="1" applyFill="1" applyBorder="1" applyAlignment="1">
      <alignment horizontal="center"/>
    </xf>
    <xf numFmtId="0" fontId="114" fillId="0" borderId="40" xfId="0" applyFont="1" applyFill="1" applyBorder="1" applyAlignment="1">
      <alignment horizontal="center"/>
    </xf>
    <xf numFmtId="0" fontId="114" fillId="0" borderId="23" xfId="0" applyFont="1" applyFill="1" applyBorder="1" applyAlignment="1">
      <alignment horizontal="center"/>
    </xf>
    <xf numFmtId="0" fontId="114" fillId="0" borderId="53" xfId="0" applyFont="1" applyFill="1" applyBorder="1" applyAlignment="1">
      <alignment horizontal="center"/>
    </xf>
    <xf numFmtId="0" fontId="114" fillId="0" borderId="9" xfId="0" applyFont="1" applyBorder="1" applyAlignment="1">
      <alignment horizontal="center"/>
    </xf>
    <xf numFmtId="0" fontId="114" fillId="0" borderId="42" xfId="0" applyFont="1" applyBorder="1" applyAlignment="1">
      <alignment horizontal="center"/>
    </xf>
    <xf numFmtId="0" fontId="114" fillId="0" borderId="9" xfId="0" applyFont="1" applyBorder="1" applyAlignment="1">
      <alignment horizontal="center" vertical="center" wrapText="1"/>
    </xf>
    <xf numFmtId="0" fontId="38" fillId="0" borderId="40" xfId="0" applyFont="1" applyFill="1" applyBorder="1" applyAlignment="1">
      <alignment horizontal="center"/>
    </xf>
    <xf numFmtId="0" fontId="38" fillId="0" borderId="53" xfId="0" applyFont="1" applyFill="1" applyBorder="1" applyAlignment="1">
      <alignment horizontal="center"/>
    </xf>
    <xf numFmtId="0" fontId="114" fillId="0" borderId="0" xfId="0" applyFont="1" applyAlignment="1">
      <alignment horizontal="left"/>
    </xf>
    <xf numFmtId="0" fontId="114" fillId="0" borderId="33" xfId="0" applyFont="1" applyBorder="1" applyAlignment="1">
      <alignment horizontal="center" vertical="center" wrapText="1"/>
    </xf>
    <xf numFmtId="0" fontId="114" fillId="0" borderId="49" xfId="0" applyFont="1" applyBorder="1" applyAlignment="1">
      <alignment horizontal="center" vertical="center" wrapText="1"/>
    </xf>
    <xf numFmtId="0" fontId="38" fillId="0" borderId="40" xfId="0" applyFont="1" applyBorder="1" applyAlignment="1">
      <alignment horizontal="center"/>
    </xf>
    <xf numFmtId="0" fontId="38" fillId="0" borderId="53" xfId="0" applyFont="1" applyBorder="1" applyAlignment="1">
      <alignment horizontal="center"/>
    </xf>
    <xf numFmtId="0" fontId="14" fillId="0" borderId="0" xfId="0" applyFont="1" applyFill="1" applyAlignment="1">
      <alignment horizontal="left"/>
    </xf>
    <xf numFmtId="0" fontId="114" fillId="0" borderId="0" xfId="0" applyFont="1" applyFill="1" applyAlignment="1">
      <alignment horizontal="center"/>
    </xf>
    <xf numFmtId="0" fontId="38" fillId="0" borderId="40" xfId="0" applyFont="1" applyFill="1" applyBorder="1" applyAlignment="1">
      <alignment horizontal="left" vertical="center" wrapText="1"/>
    </xf>
    <xf numFmtId="0" fontId="38" fillId="0" borderId="23" xfId="0" applyFont="1" applyFill="1" applyBorder="1" applyAlignment="1">
      <alignment horizontal="left" vertical="center" wrapText="1"/>
    </xf>
    <xf numFmtId="0" fontId="38" fillId="0" borderId="53" xfId="0" applyFont="1" applyFill="1" applyBorder="1" applyAlignment="1">
      <alignment horizontal="left" vertical="center" wrapText="1"/>
    </xf>
    <xf numFmtId="0" fontId="38" fillId="0" borderId="40" xfId="384" applyFont="1" applyFill="1" applyBorder="1" applyAlignment="1">
      <alignment horizontal="left"/>
    </xf>
    <xf numFmtId="0" fontId="38" fillId="0" borderId="23" xfId="384" applyFont="1" applyFill="1" applyBorder="1" applyAlignment="1">
      <alignment horizontal="left"/>
    </xf>
    <xf numFmtId="0" fontId="38" fillId="0" borderId="53" xfId="384" applyFont="1" applyFill="1" applyBorder="1" applyAlignment="1">
      <alignment horizontal="left"/>
    </xf>
    <xf numFmtId="8" fontId="38" fillId="0" borderId="0" xfId="0" applyNumberFormat="1" applyFont="1" applyAlignment="1">
      <alignment horizontal="center"/>
    </xf>
    <xf numFmtId="8" fontId="38" fillId="84" borderId="0" xfId="0" applyNumberFormat="1" applyFont="1" applyFill="1" applyAlignment="1">
      <alignment horizontal="center"/>
    </xf>
    <xf numFmtId="0" fontId="14" fillId="85" borderId="90" xfId="0" applyFont="1" applyFill="1" applyBorder="1" applyAlignment="1">
      <alignment horizontal="center" vertical="center" wrapText="1"/>
    </xf>
    <xf numFmtId="0" fontId="14" fillId="85" borderId="91" xfId="0" applyFont="1" applyFill="1" applyBorder="1" applyAlignment="1">
      <alignment horizontal="center" vertical="center" wrapText="1"/>
    </xf>
    <xf numFmtId="0" fontId="14" fillId="85" borderId="95" xfId="0" applyFont="1" applyFill="1" applyBorder="1" applyAlignment="1">
      <alignment horizontal="center" vertical="center" wrapText="1"/>
    </xf>
    <xf numFmtId="0" fontId="14" fillId="85" borderId="96" xfId="0" applyFont="1" applyFill="1" applyBorder="1" applyAlignment="1">
      <alignment horizontal="center" vertical="center" wrapText="1"/>
    </xf>
    <xf numFmtId="0" fontId="14" fillId="85" borderId="88" xfId="0" applyFont="1" applyFill="1" applyBorder="1" applyAlignment="1">
      <alignment horizontal="center" vertical="center"/>
    </xf>
    <xf numFmtId="0" fontId="14" fillId="85" borderId="89" xfId="0" applyFont="1" applyFill="1" applyBorder="1" applyAlignment="1">
      <alignment horizontal="center" vertical="center"/>
    </xf>
    <xf numFmtId="0" fontId="14" fillId="85" borderId="90" xfId="0" applyFont="1" applyFill="1" applyBorder="1" applyAlignment="1">
      <alignment horizontal="center" vertical="center"/>
    </xf>
    <xf numFmtId="0" fontId="14" fillId="85" borderId="91" xfId="0" applyFont="1" applyFill="1" applyBorder="1" applyAlignment="1">
      <alignment horizontal="center" vertical="center"/>
    </xf>
    <xf numFmtId="0" fontId="14" fillId="85" borderId="72" xfId="0" applyFont="1" applyFill="1" applyBorder="1" applyAlignment="1">
      <alignment horizontal="center" vertical="center"/>
    </xf>
    <xf numFmtId="0" fontId="14" fillId="85" borderId="33" xfId="0" applyFont="1" applyFill="1" applyBorder="1" applyAlignment="1">
      <alignment horizontal="center" vertical="center"/>
    </xf>
    <xf numFmtId="0" fontId="14" fillId="85" borderId="68" xfId="0" applyFont="1" applyFill="1" applyBorder="1" applyAlignment="1">
      <alignment horizontal="center"/>
    </xf>
    <xf numFmtId="0" fontId="14" fillId="85" borderId="69" xfId="0" applyFont="1" applyFill="1" applyBorder="1" applyAlignment="1">
      <alignment horizontal="center"/>
    </xf>
    <xf numFmtId="0" fontId="14" fillId="85" borderId="70" xfId="0" applyFont="1" applyFill="1" applyBorder="1" applyAlignment="1">
      <alignment horizontal="center"/>
    </xf>
    <xf numFmtId="0" fontId="14" fillId="85" borderId="76" xfId="0" applyFont="1" applyFill="1" applyBorder="1" applyAlignment="1">
      <alignment horizontal="center" vertical="center"/>
    </xf>
    <xf numFmtId="0" fontId="14" fillId="85" borderId="73" xfId="0" applyFont="1" applyFill="1" applyBorder="1" applyAlignment="1">
      <alignment horizontal="center" vertical="center"/>
    </xf>
    <xf numFmtId="0" fontId="14" fillId="85" borderId="77" xfId="0" applyFont="1" applyFill="1" applyBorder="1" applyAlignment="1">
      <alignment horizontal="center" vertical="center"/>
    </xf>
    <xf numFmtId="3" fontId="14" fillId="85" borderId="90" xfId="0" applyNumberFormat="1" applyFont="1" applyFill="1" applyBorder="1" applyAlignment="1">
      <alignment horizontal="center" vertical="center"/>
    </xf>
    <xf numFmtId="3" fontId="14" fillId="85" borderId="91" xfId="0" applyNumberFormat="1" applyFont="1" applyFill="1" applyBorder="1" applyAlignment="1">
      <alignment horizontal="center" vertical="center"/>
    </xf>
    <xf numFmtId="3" fontId="14" fillId="85" borderId="88" xfId="0" applyNumberFormat="1" applyFont="1" applyFill="1" applyBorder="1" applyAlignment="1">
      <alignment horizontal="center" vertical="center"/>
    </xf>
    <xf numFmtId="3" fontId="14" fillId="85" borderId="89" xfId="0" applyNumberFormat="1" applyFont="1" applyFill="1" applyBorder="1" applyAlignment="1">
      <alignment horizontal="center" vertical="center"/>
    </xf>
    <xf numFmtId="3" fontId="14" fillId="85" borderId="73" xfId="0" applyNumberFormat="1" applyFont="1" applyFill="1" applyBorder="1" applyAlignment="1">
      <alignment horizontal="center" vertical="center"/>
    </xf>
    <xf numFmtId="3" fontId="14" fillId="85" borderId="77" xfId="0" applyNumberFormat="1" applyFont="1" applyFill="1" applyBorder="1" applyAlignment="1">
      <alignment horizontal="center" vertical="center"/>
    </xf>
    <xf numFmtId="0" fontId="14" fillId="85" borderId="29" xfId="0" applyFont="1" applyFill="1" applyBorder="1" applyAlignment="1">
      <alignment horizontal="center" vertical="center"/>
    </xf>
    <xf numFmtId="0" fontId="14" fillId="85" borderId="75" xfId="0" applyFont="1" applyFill="1" applyBorder="1" applyAlignment="1">
      <alignment horizontal="center" vertical="center"/>
    </xf>
    <xf numFmtId="2" fontId="14" fillId="85" borderId="73" xfId="0" applyNumberFormat="1" applyFont="1" applyFill="1" applyBorder="1" applyAlignment="1">
      <alignment horizontal="center" vertical="center"/>
    </xf>
    <xf numFmtId="2" fontId="14" fillId="85" borderId="77" xfId="0" applyNumberFormat="1" applyFont="1" applyFill="1" applyBorder="1" applyAlignment="1">
      <alignment horizontal="center" vertical="center"/>
    </xf>
    <xf numFmtId="0" fontId="14" fillId="85" borderId="83" xfId="0" applyFont="1" applyFill="1" applyBorder="1" applyAlignment="1">
      <alignment horizontal="center" vertical="center"/>
    </xf>
    <xf numFmtId="0" fontId="14" fillId="85" borderId="86" xfId="0" applyFont="1" applyFill="1" applyBorder="1" applyAlignment="1">
      <alignment horizontal="center" vertical="center"/>
    </xf>
    <xf numFmtId="0" fontId="14" fillId="85" borderId="95" xfId="0" applyFont="1" applyFill="1" applyBorder="1" applyAlignment="1">
      <alignment horizontal="center" vertical="center"/>
    </xf>
    <xf numFmtId="2" fontId="14" fillId="85" borderId="83" xfId="0" applyNumberFormat="1" applyFont="1" applyFill="1" applyBorder="1" applyAlignment="1">
      <alignment horizontal="center" vertical="center"/>
    </xf>
    <xf numFmtId="0" fontId="14" fillId="85" borderId="84" xfId="0" applyFont="1" applyFill="1" applyBorder="1" applyAlignment="1">
      <alignment horizontal="center" vertical="center"/>
    </xf>
    <xf numFmtId="0" fontId="14" fillId="85" borderId="88" xfId="0" applyFont="1" applyFill="1" applyBorder="1" applyAlignment="1">
      <alignment horizontal="center" vertical="center" wrapText="1"/>
    </xf>
    <xf numFmtId="0" fontId="14" fillId="85" borderId="89" xfId="0" applyFont="1" applyFill="1" applyBorder="1" applyAlignment="1">
      <alignment horizontal="center" vertical="center" wrapText="1"/>
    </xf>
    <xf numFmtId="3" fontId="14" fillId="85" borderId="83" xfId="0" applyNumberFormat="1" applyFont="1" applyFill="1" applyBorder="1" applyAlignment="1">
      <alignment horizontal="center" vertical="center"/>
    </xf>
    <xf numFmtId="0" fontId="15" fillId="85" borderId="7" xfId="0" applyFont="1" applyFill="1" applyBorder="1" applyAlignment="1">
      <alignment horizontal="center" vertical="center"/>
    </xf>
    <xf numFmtId="0" fontId="15" fillId="85" borderId="63" xfId="0" applyFont="1" applyFill="1" applyBorder="1" applyAlignment="1">
      <alignment horizontal="center" vertical="center"/>
    </xf>
    <xf numFmtId="0" fontId="15" fillId="85" borderId="64" xfId="0" applyFont="1" applyFill="1" applyBorder="1" applyAlignment="1">
      <alignment horizontal="center" vertical="center"/>
    </xf>
    <xf numFmtId="0" fontId="15" fillId="85" borderId="65" xfId="0" applyFont="1" applyFill="1" applyBorder="1" applyAlignment="1">
      <alignment horizontal="center" vertical="center"/>
    </xf>
    <xf numFmtId="0" fontId="15" fillId="85" borderId="0" xfId="0" applyFont="1" applyFill="1" applyAlignment="1">
      <alignment horizontal="center" vertical="center"/>
    </xf>
    <xf numFmtId="0" fontId="15" fillId="85" borderId="66" xfId="0" applyFont="1" applyFill="1" applyBorder="1" applyAlignment="1">
      <alignment horizontal="center" vertical="center"/>
    </xf>
    <xf numFmtId="0" fontId="14" fillId="85" borderId="67" xfId="0" applyFont="1" applyFill="1" applyBorder="1" applyAlignment="1">
      <alignment horizontal="center" vertical="center"/>
    </xf>
    <xf numFmtId="0" fontId="14" fillId="85" borderId="71" xfId="0" applyFont="1" applyFill="1" applyBorder="1" applyAlignment="1">
      <alignment horizontal="center" vertical="center"/>
    </xf>
    <xf numFmtId="0" fontId="14" fillId="85" borderId="85" xfId="0" applyFont="1" applyFill="1" applyBorder="1" applyAlignment="1">
      <alignment horizontal="center" vertical="center"/>
    </xf>
    <xf numFmtId="0" fontId="14" fillId="85" borderId="92" xfId="0" applyFont="1" applyFill="1" applyBorder="1" applyAlignment="1">
      <alignment horizontal="center" vertical="center"/>
    </xf>
    <xf numFmtId="0" fontId="14" fillId="85" borderId="21" xfId="0" applyFont="1" applyFill="1" applyBorder="1" applyAlignment="1">
      <alignment horizontal="center" vertical="center"/>
    </xf>
    <xf numFmtId="0" fontId="14" fillId="85" borderId="93" xfId="0" applyFont="1" applyFill="1" applyBorder="1" applyAlignment="1">
      <alignment horizontal="center" vertical="center"/>
    </xf>
    <xf numFmtId="0" fontId="14" fillId="85" borderId="92" xfId="0" applyFont="1" applyFill="1" applyBorder="1" applyAlignment="1">
      <alignment horizontal="center"/>
    </xf>
    <xf numFmtId="0" fontId="14" fillId="85" borderId="21" xfId="0" applyFont="1" applyFill="1" applyBorder="1" applyAlignment="1">
      <alignment horizontal="center"/>
    </xf>
    <xf numFmtId="0" fontId="14" fillId="85" borderId="93" xfId="0" applyFont="1" applyFill="1" applyBorder="1" applyAlignment="1">
      <alignment horizontal="center"/>
    </xf>
    <xf numFmtId="0" fontId="14" fillId="85" borderId="68" xfId="0" applyFont="1" applyFill="1" applyBorder="1" applyAlignment="1">
      <alignment horizontal="center" vertical="center"/>
    </xf>
    <xf numFmtId="0" fontId="14" fillId="85" borderId="69" xfId="0" applyFont="1" applyFill="1" applyBorder="1" applyAlignment="1">
      <alignment horizontal="center" vertical="center"/>
    </xf>
    <xf numFmtId="0" fontId="14" fillId="85" borderId="70" xfId="0" applyFont="1" applyFill="1" applyBorder="1" applyAlignment="1">
      <alignment horizontal="center" vertical="center"/>
    </xf>
    <xf numFmtId="0" fontId="14" fillId="85" borderId="87" xfId="0" applyFont="1" applyFill="1" applyBorder="1" applyAlignment="1">
      <alignment horizontal="center" vertical="center"/>
    </xf>
    <xf numFmtId="0" fontId="14" fillId="85" borderId="96" xfId="0" applyFont="1" applyFill="1" applyBorder="1" applyAlignment="1">
      <alignment horizontal="center" vertical="center"/>
    </xf>
    <xf numFmtId="0" fontId="14" fillId="85" borderId="74" xfId="0" applyFont="1" applyFill="1" applyBorder="1" applyAlignment="1">
      <alignment horizontal="center" vertical="center"/>
    </xf>
    <xf numFmtId="0" fontId="15" fillId="85" borderId="94" xfId="0" applyFont="1" applyFill="1" applyBorder="1" applyAlignment="1">
      <alignment horizontal="center" vertical="center"/>
    </xf>
    <xf numFmtId="0" fontId="15" fillId="85" borderId="34" xfId="0" applyFont="1" applyFill="1" applyBorder="1" applyAlignment="1">
      <alignment horizontal="center" vertical="center"/>
    </xf>
    <xf numFmtId="0" fontId="15" fillId="85" borderId="97" xfId="0" applyFont="1" applyFill="1" applyBorder="1" applyAlignment="1">
      <alignment horizontal="center" vertical="center"/>
    </xf>
  </cellXfs>
  <cellStyles count="851">
    <cellStyle name="_x000a_386grabber=M" xfId="1"/>
    <cellStyle name="_x000a_386grabber=M 2" xfId="2"/>
    <cellStyle name="_Avaliação Santa Cruz -Unibanco" xfId="3"/>
    <cellStyle name="_Avaliação Santa Cruz -Unibanco 10032006" xfId="4"/>
    <cellStyle name="_Avaliação Santa Cruz -Unibanco 10032006 2" xfId="5"/>
    <cellStyle name="_Avaliação Santa Cruz -Unibanco 10032006 2_Plan1" xfId="6"/>
    <cellStyle name="_Avaliação Santa Cruz -Unibanco 10032006 2_Plan1 2" xfId="7"/>
    <cellStyle name="_Avaliação Santa Cruz -Unibanco 10032006 2_Plan1 2_Plan1" xfId="8"/>
    <cellStyle name="_Avaliação Santa Cruz -Unibanco 10032006 2_Plan1 2_Plan1 2" xfId="9"/>
    <cellStyle name="_Avaliação Santa Cruz -Unibanco 2" xfId="10"/>
    <cellStyle name="_Avaliação Santa Cruz -Unibanco 2_Plan1" xfId="11"/>
    <cellStyle name="_Avaliação Santa Cruz -Unibanco 2_Plan1 2" xfId="12"/>
    <cellStyle name="_Avaliação Santa Cruz -Unibanco 2_Plan1 2_Plan1" xfId="13"/>
    <cellStyle name="_Avaliação Santa Cruz -Unibanco 2_Plan1 2_Plan1 2" xfId="14"/>
    <cellStyle name="_Estudo de Viabilidade DataCenter 28 Agosto" xfId="15"/>
    <cellStyle name="_Estudo de Viabilidade DataCenter 28 Agosto 2" xfId="16"/>
    <cellStyle name="_Modelo PPP RGS V 15 09" xfId="17"/>
    <cellStyle name="_Rodoanel Proposta 05 03" xfId="18"/>
    <cellStyle name="_Sheet1" xfId="19"/>
    <cellStyle name="_Sheet1 2" xfId="20"/>
    <cellStyle name="_Sheet1 2_Plan1" xfId="21"/>
    <cellStyle name="_Sheet1 2_Plan1 2" xfId="22"/>
    <cellStyle name="_Sheet1 2_Plan1 2_Plan1" xfId="23"/>
    <cellStyle name="_Sheet1 2_Plan1 2_Plan1 2" xfId="24"/>
    <cellStyle name="£" xfId="25"/>
    <cellStyle name="£ 2" xfId="26"/>
    <cellStyle name="000 PN" xfId="27"/>
    <cellStyle name="20% - Accent1" xfId="28"/>
    <cellStyle name="20% - Accent1 2" xfId="29"/>
    <cellStyle name="20% - Accent2" xfId="30"/>
    <cellStyle name="20% - Accent2 2" xfId="31"/>
    <cellStyle name="20% - Accent3" xfId="32"/>
    <cellStyle name="20% - Accent3 2" xfId="33"/>
    <cellStyle name="20% - Accent4" xfId="34"/>
    <cellStyle name="20% - Accent4 2" xfId="35"/>
    <cellStyle name="20% - Accent5" xfId="36"/>
    <cellStyle name="20% - Accent5 2" xfId="37"/>
    <cellStyle name="20% - Accent6" xfId="38"/>
    <cellStyle name="20% - Accent6 2" xfId="39"/>
    <cellStyle name="20% - Ênfase1 2" xfId="40"/>
    <cellStyle name="20% - Ênfase2 2" xfId="41"/>
    <cellStyle name="20% - Ênfase3 2" xfId="42"/>
    <cellStyle name="20% - Ênfase4 2" xfId="43"/>
    <cellStyle name="20% - Ênfase5 2" xfId="44"/>
    <cellStyle name="20% - Ênfase6 2" xfId="45"/>
    <cellStyle name="20% - Énfasis1" xfId="46"/>
    <cellStyle name="20% - Énfasis1 2" xfId="47"/>
    <cellStyle name="20% - Énfasis2" xfId="48"/>
    <cellStyle name="20% - Énfasis2 2" xfId="49"/>
    <cellStyle name="20% - Énfasis3" xfId="50"/>
    <cellStyle name="20% - Énfasis3 2" xfId="51"/>
    <cellStyle name="20% - Énfasis4" xfId="52"/>
    <cellStyle name="20% - Énfasis4 2" xfId="53"/>
    <cellStyle name="20% - Énfasis5" xfId="54"/>
    <cellStyle name="20% - Énfasis5 2" xfId="55"/>
    <cellStyle name="20% - Énfasis6" xfId="56"/>
    <cellStyle name="20% - Énfasis6 2" xfId="57"/>
    <cellStyle name="40% - Accent1" xfId="58"/>
    <cellStyle name="40% - Accent1 2" xfId="59"/>
    <cellStyle name="40% - Accent2" xfId="60"/>
    <cellStyle name="40% - Accent2 2" xfId="61"/>
    <cellStyle name="40% - Accent3" xfId="62"/>
    <cellStyle name="40% - Accent3 2" xfId="63"/>
    <cellStyle name="40% - Accent4" xfId="64"/>
    <cellStyle name="40% - Accent4 2" xfId="65"/>
    <cellStyle name="40% - Accent5" xfId="66"/>
    <cellStyle name="40% - Accent5 2" xfId="67"/>
    <cellStyle name="40% - Accent6" xfId="68"/>
    <cellStyle name="40% - Accent6 2" xfId="69"/>
    <cellStyle name="40% - Ênfase1 2" xfId="70"/>
    <cellStyle name="40% - Ênfase2 2" xfId="71"/>
    <cellStyle name="40% - Ênfase3 2" xfId="72"/>
    <cellStyle name="40% - Ênfase4 2" xfId="73"/>
    <cellStyle name="40% - Ênfase5 2" xfId="74"/>
    <cellStyle name="40% - Ênfase6 2" xfId="75"/>
    <cellStyle name="40% - Énfasis1" xfId="76"/>
    <cellStyle name="40% - Énfasis1 2" xfId="77"/>
    <cellStyle name="40% - Énfasis2" xfId="78"/>
    <cellStyle name="40% - Énfasis2 2" xfId="79"/>
    <cellStyle name="40% - Énfasis3" xfId="80"/>
    <cellStyle name="40% - Énfasis3 2" xfId="81"/>
    <cellStyle name="40% - Énfasis4" xfId="82"/>
    <cellStyle name="40% - Énfasis4 2" xfId="83"/>
    <cellStyle name="40% - Énfasis5" xfId="84"/>
    <cellStyle name="40% - Énfasis5 2" xfId="85"/>
    <cellStyle name="40% - Énfasis6" xfId="86"/>
    <cellStyle name="40% - Énfasis6 2" xfId="87"/>
    <cellStyle name="60% - Accent1" xfId="88"/>
    <cellStyle name="60% - Accent1 2" xfId="89"/>
    <cellStyle name="60% - Accent2" xfId="90"/>
    <cellStyle name="60% - Accent2 2" xfId="91"/>
    <cellStyle name="60% - Accent3" xfId="92"/>
    <cellStyle name="60% - Accent3 2" xfId="93"/>
    <cellStyle name="60% - Accent4" xfId="94"/>
    <cellStyle name="60% - Accent4 2" xfId="95"/>
    <cellStyle name="60% - Accent5" xfId="96"/>
    <cellStyle name="60% - Accent5 2" xfId="97"/>
    <cellStyle name="60% - Accent6" xfId="98"/>
    <cellStyle name="60% - Accent6 2" xfId="99"/>
    <cellStyle name="60% - Ênfase1 2" xfId="100"/>
    <cellStyle name="60% - Ênfase2 2" xfId="101"/>
    <cellStyle name="60% - Ênfase3 2" xfId="102"/>
    <cellStyle name="60% - Ênfase4 2" xfId="103"/>
    <cellStyle name="60% - Ênfase5 2" xfId="104"/>
    <cellStyle name="60% - Ênfase6 2" xfId="105"/>
    <cellStyle name="60% - Énfasis1" xfId="106"/>
    <cellStyle name="60% - Énfasis1 2" xfId="107"/>
    <cellStyle name="60% - Énfasis2" xfId="108"/>
    <cellStyle name="60% - Énfasis2 2" xfId="109"/>
    <cellStyle name="60% - Énfasis3" xfId="110"/>
    <cellStyle name="60% - Énfasis3 2" xfId="111"/>
    <cellStyle name="60% - Énfasis4" xfId="112"/>
    <cellStyle name="60% - Énfasis4 2" xfId="113"/>
    <cellStyle name="60% - Énfasis5" xfId="114"/>
    <cellStyle name="60% - Énfasis5 2" xfId="115"/>
    <cellStyle name="60% - Énfasis6" xfId="116"/>
    <cellStyle name="60% - Énfasis6 2" xfId="117"/>
    <cellStyle name="600 PN" xfId="118"/>
    <cellStyle name="700 PN" xfId="119"/>
    <cellStyle name="A3 297 x 420 mm" xfId="120"/>
    <cellStyle name="A3 297 x 420 mm 2" xfId="121"/>
    <cellStyle name="A3 297 x 420 mm 3" xfId="122"/>
    <cellStyle name="Accent1" xfId="123"/>
    <cellStyle name="Accent1 2" xfId="124"/>
    <cellStyle name="Accent2" xfId="125"/>
    <cellStyle name="Accent2 2" xfId="126"/>
    <cellStyle name="Accent3" xfId="127"/>
    <cellStyle name="Accent3 2" xfId="128"/>
    <cellStyle name="Accent4" xfId="129"/>
    <cellStyle name="Accent4 2" xfId="130"/>
    <cellStyle name="Accent5" xfId="131"/>
    <cellStyle name="Accent5 2" xfId="132"/>
    <cellStyle name="Accent6" xfId="133"/>
    <cellStyle name="Accent6 2" xfId="134"/>
    <cellStyle name="Actual Date" xfId="135"/>
    <cellStyle name="AFE" xfId="136"/>
    <cellStyle name="AFE 2" xfId="137"/>
    <cellStyle name="AFE 2 2" xfId="138"/>
    <cellStyle name="AFE 3" xfId="139"/>
    <cellStyle name="AFE 3 2" xfId="140"/>
    <cellStyle name="AFE 4" xfId="141"/>
    <cellStyle name="AFE 5" xfId="142"/>
    <cellStyle name="AFE 6" xfId="143"/>
    <cellStyle name="Amarelocot" xfId="144"/>
    <cellStyle name="apresent" xfId="145"/>
    <cellStyle name="Att1" xfId="146"/>
    <cellStyle name="b0let" xfId="147"/>
    <cellStyle name="Bad" xfId="148"/>
    <cellStyle name="Bad 2" xfId="149"/>
    <cellStyle name="Black" xfId="150"/>
    <cellStyle name="Blue" xfId="151"/>
    <cellStyle name="Body_InputCellText" xfId="152"/>
    <cellStyle name="bold_text" xfId="153"/>
    <cellStyle name="Bol-Data" xfId="154"/>
    <cellStyle name="boldbluetxt_green" xfId="155"/>
    <cellStyle name="bolet" xfId="156"/>
    <cellStyle name="bolet 2" xfId="157"/>
    <cellStyle name="Boletim" xfId="158"/>
    <cellStyle name="Bom 2" xfId="159"/>
    <cellStyle name="box" xfId="160"/>
    <cellStyle name="Buena" xfId="161"/>
    <cellStyle name="Buena 2" xfId="162"/>
    <cellStyle name="CABEÇALHO" xfId="163"/>
    <cellStyle name="CABEÇALHO2" xfId="164"/>
    <cellStyle name="CABEÇALHO2 2" xfId="165"/>
    <cellStyle name="Cabecera 1" xfId="166"/>
    <cellStyle name="Cabecera 1 2" xfId="167"/>
    <cellStyle name="Cabecera 2" xfId="168"/>
    <cellStyle name="Cabecera 2 2" xfId="169"/>
    <cellStyle name="Calc" xfId="170"/>
    <cellStyle name="CALC Amount" xfId="171"/>
    <cellStyle name="Calculation" xfId="172"/>
    <cellStyle name="Calculation 2" xfId="173"/>
    <cellStyle name="Cálculo 2" xfId="174"/>
    <cellStyle name="Celda de comprobación" xfId="175"/>
    <cellStyle name="Celda de comprobación 2" xfId="176"/>
    <cellStyle name="Celda vinculada" xfId="177"/>
    <cellStyle name="Celda vinculada 2" xfId="178"/>
    <cellStyle name="Célula de Verificação 2" xfId="179"/>
    <cellStyle name="Célula Vinculada 2" xfId="180"/>
    <cellStyle name="Centrado" xfId="181"/>
    <cellStyle name="Centrado 2" xfId="182"/>
    <cellStyle name="Check Cell" xfId="183"/>
    <cellStyle name="Comma [0]" xfId="184"/>
    <cellStyle name="Comma [0] 2" xfId="185"/>
    <cellStyle name="Comma 0" xfId="186"/>
    <cellStyle name="Comma 2" xfId="187"/>
    <cellStyle name="Comma 2 2" xfId="188"/>
    <cellStyle name="Comma 3" xfId="189"/>
    <cellStyle name="Comma_CAPEX Summary 2 0" xfId="190"/>
    <cellStyle name="Comma0" xfId="191"/>
    <cellStyle name="Comma0 - Estilo4" xfId="192"/>
    <cellStyle name="Comma0 - Estilo4 2" xfId="193"/>
    <cellStyle name="Comma0 - Modelo1" xfId="194"/>
    <cellStyle name="Comma0 - Modelo1 2" xfId="195"/>
    <cellStyle name="Comma0 - Style1" xfId="196"/>
    <cellStyle name="Comma0 - Style1 2" xfId="197"/>
    <cellStyle name="Comma1 - Estilo1" xfId="198"/>
    <cellStyle name="Comma1 - Estilo1 2" xfId="199"/>
    <cellStyle name="Comma1 - Modelo2" xfId="200"/>
    <cellStyle name="Comma1 - Modelo2 2" xfId="201"/>
    <cellStyle name="Comma1 - Style2" xfId="202"/>
    <cellStyle name="Comma1 - Style2 2" xfId="203"/>
    <cellStyle name="Conferência" xfId="204"/>
    <cellStyle name="Currency [0]" xfId="205"/>
    <cellStyle name="Currency [0] 2" xfId="206"/>
    <cellStyle name="Currency £ k" xfId="207"/>
    <cellStyle name="Currency 0" xfId="208"/>
    <cellStyle name="Currency 2" xfId="209"/>
    <cellStyle name="Currency 2 2" xfId="210"/>
    <cellStyle name="Currency 3" xfId="211"/>
    <cellStyle name="Currency_Anexo 8 - RB" xfId="212"/>
    <cellStyle name="Currency0" xfId="213"/>
    <cellStyle name="Data" xfId="214"/>
    <cellStyle name="Data 2" xfId="215"/>
    <cellStyle name="Date" xfId="216"/>
    <cellStyle name="Date - Estilo3" xfId="217"/>
    <cellStyle name="Date - Estilo3 2" xfId="218"/>
    <cellStyle name="Date Aligned" xfId="219"/>
    <cellStyle name="DateShort" xfId="220"/>
    <cellStyle name="Design" xfId="221"/>
    <cellStyle name="Dezimal [0]_Appendix 11" xfId="222"/>
    <cellStyle name="Dezimal_Appendix 11" xfId="223"/>
    <cellStyle name="Dia" xfId="224"/>
    <cellStyle name="Dia 2" xfId="225"/>
    <cellStyle name="Dotted Line" xfId="226"/>
    <cellStyle name="Encabez1" xfId="227"/>
    <cellStyle name="Encabez1 2" xfId="228"/>
    <cellStyle name="Encabez2" xfId="229"/>
    <cellStyle name="Encabez2 2" xfId="230"/>
    <cellStyle name="Encabezado 4" xfId="231"/>
    <cellStyle name="Encabezado 4 2" xfId="232"/>
    <cellStyle name="Ênfase1 2" xfId="233"/>
    <cellStyle name="Ênfase2 2" xfId="234"/>
    <cellStyle name="Ênfase3 2" xfId="235"/>
    <cellStyle name="Ênfase4 2" xfId="236"/>
    <cellStyle name="Ênfase5 2" xfId="237"/>
    <cellStyle name="Ênfase6 2" xfId="238"/>
    <cellStyle name="Énfasis1" xfId="239"/>
    <cellStyle name="Énfasis1 2" xfId="240"/>
    <cellStyle name="Énfasis2" xfId="241"/>
    <cellStyle name="Énfasis2 2" xfId="242"/>
    <cellStyle name="Énfasis3" xfId="243"/>
    <cellStyle name="Énfasis3 2" xfId="244"/>
    <cellStyle name="Énfasis4" xfId="245"/>
    <cellStyle name="Énfasis4 2" xfId="246"/>
    <cellStyle name="Énfasis5" xfId="247"/>
    <cellStyle name="Énfasis5 2" xfId="248"/>
    <cellStyle name="Énfasis6" xfId="249"/>
    <cellStyle name="Énfasis6 2" xfId="250"/>
    <cellStyle name="Entrada 2" xfId="251"/>
    <cellStyle name="equipement" xfId="252"/>
    <cellStyle name="equipement 2" xfId="253"/>
    <cellStyle name="Estilo 1" xfId="254"/>
    <cellStyle name="Estilo 1 2" xfId="255"/>
    <cellStyle name="Euro" xfId="256"/>
    <cellStyle name="Euro 2" xfId="257"/>
    <cellStyle name="Euro 2 2" xfId="258"/>
    <cellStyle name="Euro 3" xfId="259"/>
    <cellStyle name="Euro 4" xfId="260"/>
    <cellStyle name="Ex_MISTO" xfId="261"/>
    <cellStyle name="Explanatory Text" xfId="262"/>
    <cellStyle name="Explanatory Text 2" xfId="263"/>
    <cellStyle name="EY House" xfId="264"/>
    <cellStyle name="F2" xfId="265"/>
    <cellStyle name="F2 2" xfId="266"/>
    <cellStyle name="F3" xfId="267"/>
    <cellStyle name="F3 2" xfId="268"/>
    <cellStyle name="F4" xfId="269"/>
    <cellStyle name="F4 2" xfId="270"/>
    <cellStyle name="F5" xfId="271"/>
    <cellStyle name="F5 2" xfId="272"/>
    <cellStyle name="F6" xfId="273"/>
    <cellStyle name="F6 2" xfId="274"/>
    <cellStyle name="F7" xfId="275"/>
    <cellStyle name="F7 2" xfId="276"/>
    <cellStyle name="F8" xfId="277"/>
    <cellStyle name="F8 2" xfId="278"/>
    <cellStyle name="Fab" xfId="279"/>
    <cellStyle name="Falces1" xfId="280"/>
    <cellStyle name="Fecha" xfId="281"/>
    <cellStyle name="Fecha 2" xfId="282"/>
    <cellStyle name="Fecha 3" xfId="283"/>
    <cellStyle name="Fijo" xfId="284"/>
    <cellStyle name="Fijo 2" xfId="285"/>
    <cellStyle name="Financiero" xfId="286"/>
    <cellStyle name="Financiero 2" xfId="287"/>
    <cellStyle name="FinTab" xfId="288"/>
    <cellStyle name="Fixed" xfId="289"/>
    <cellStyle name="Fixo" xfId="290"/>
    <cellStyle name="Footnote" xfId="291"/>
    <cellStyle name="Footnote 2" xfId="292"/>
    <cellStyle name="fundoamarelo" xfId="293"/>
    <cellStyle name="fundoamarelo 2" xfId="294"/>
    <cellStyle name="fundoazul" xfId="295"/>
    <cellStyle name="fundoazul 2" xfId="296"/>
    <cellStyle name="fundocinza" xfId="297"/>
    <cellStyle name="fundocinza 2" xfId="298"/>
    <cellStyle name="fundodeentrada" xfId="299"/>
    <cellStyle name="fundodeentrada 2" xfId="300"/>
    <cellStyle name="fundoentrada" xfId="301"/>
    <cellStyle name="fundoentrada 2" xfId="302"/>
    <cellStyle name="Futur" xfId="303"/>
    <cellStyle name="Good" xfId="304"/>
    <cellStyle name="Grand_Total" xfId="305"/>
    <cellStyle name="Green" xfId="306"/>
    <cellStyle name="Grey" xfId="307"/>
    <cellStyle name="Harald" xfId="308"/>
    <cellStyle name="Hard Percent" xfId="309"/>
    <cellStyle name="Header" xfId="310"/>
    <cellStyle name="Header 2" xfId="311"/>
    <cellStyle name="Header1" xfId="312"/>
    <cellStyle name="Header1 2" xfId="313"/>
    <cellStyle name="Header2" xfId="314"/>
    <cellStyle name="Header2 2" xfId="315"/>
    <cellStyle name="Header3rdlevel" xfId="316"/>
    <cellStyle name="Heading 1" xfId="317"/>
    <cellStyle name="Heading 1 2" xfId="318"/>
    <cellStyle name="Heading 2" xfId="319"/>
    <cellStyle name="Heading 2 2" xfId="320"/>
    <cellStyle name="Heading 3" xfId="321"/>
    <cellStyle name="Heading 3 2" xfId="322"/>
    <cellStyle name="Heading 4" xfId="323"/>
    <cellStyle name="Heading 4 2" xfId="324"/>
    <cellStyle name="Heading1" xfId="325"/>
    <cellStyle name="Heading2" xfId="326"/>
    <cellStyle name="HIGHLIGHT" xfId="327"/>
    <cellStyle name="HIGHLIGHT 2" xfId="328"/>
    <cellStyle name="Hiperlink" xfId="329" builtinId="8"/>
    <cellStyle name="Hiperlink 2" xfId="330"/>
    <cellStyle name="I/O" xfId="331"/>
    <cellStyle name="Imput [4]" xfId="332"/>
    <cellStyle name="Incorrecto" xfId="333"/>
    <cellStyle name="Incorrecto 2" xfId="334"/>
    <cellStyle name="Incorreto 2" xfId="335"/>
    <cellStyle name="Indefinido" xfId="336"/>
    <cellStyle name="Indefinido 2" xfId="337"/>
    <cellStyle name="Input" xfId="338"/>
    <cellStyle name="Input [yellow]" xfId="339"/>
    <cellStyle name="Input Cell" xfId="340"/>
    <cellStyle name="Komma [0]_Aanbieding 2ste off, 24 jan 2000" xfId="341"/>
    <cellStyle name="Komma_Aanbieding 2ste off, 24 jan 2000" xfId="342"/>
    <cellStyle name="Linked Cell" xfId="343"/>
    <cellStyle name="Migliaia (0)_Cash_flow" xfId="344"/>
    <cellStyle name="Migliaia_Cash_flow" xfId="345"/>
    <cellStyle name="Millares [0]_10 AVERIAS MASIVAS + ANT" xfId="346"/>
    <cellStyle name="Millares 2" xfId="347"/>
    <cellStyle name="Millares_10 AVERIAS MASIVAS + ANT" xfId="348"/>
    <cellStyle name="Milliers [0]_Feuil1" xfId="349"/>
    <cellStyle name="Milliers_BAVIFinal 01-13-2003 rev2003jan BASE" xfId="350"/>
    <cellStyle name="Misto" xfId="351"/>
    <cellStyle name="Moeda 2" xfId="352"/>
    <cellStyle name="Moeda 3" xfId="353"/>
    <cellStyle name="Moeda 3 2" xfId="354"/>
    <cellStyle name="Moeda 3 2 2" xfId="355"/>
    <cellStyle name="Moeda 4" xfId="356"/>
    <cellStyle name="Moeda 5" xfId="357"/>
    <cellStyle name="Moeda 6" xfId="358"/>
    <cellStyle name="Moneda [0]_10 AVERIAS MASIVAS + ANT" xfId="359"/>
    <cellStyle name="Moneda_10 AVERIAS MASIVAS + ANT" xfId="360"/>
    <cellStyle name="Monétaire [0]_Feuil1" xfId="361"/>
    <cellStyle name="Monétaire_Feuil1" xfId="362"/>
    <cellStyle name="Monetario" xfId="363"/>
    <cellStyle name="Monetario 2" xfId="364"/>
    <cellStyle name="Monetario0" xfId="365"/>
    <cellStyle name="Monetario0 2" xfId="366"/>
    <cellStyle name="Multiple" xfId="367"/>
    <cellStyle name="Multiple [0]" xfId="368"/>
    <cellStyle name="Multiple [0] 2" xfId="369"/>
    <cellStyle name="Multiple [1]" xfId="370"/>
    <cellStyle name="Multiple [1] 2" xfId="371"/>
    <cellStyle name="Multiple [2]" xfId="372"/>
    <cellStyle name="Multiple [2] 2" xfId="373"/>
    <cellStyle name="Neutra 2" xfId="374"/>
    <cellStyle name="Neutral" xfId="375"/>
    <cellStyle name="Nivel1" xfId="376"/>
    <cellStyle name="Nivel2" xfId="377"/>
    <cellStyle name="Nivel3" xfId="378"/>
    <cellStyle name="no dec" xfId="379"/>
    <cellStyle name="No-definido" xfId="380"/>
    <cellStyle name="NonDef" xfId="381"/>
    <cellStyle name="Norma - Style1" xfId="382"/>
    <cellStyle name="Norma - Style1 2" xfId="383"/>
    <cellStyle name="Norma - Style2" xfId="384"/>
    <cellStyle name="Norma - Style2 2" xfId="385"/>
    <cellStyle name="Norma - Style3" xfId="386"/>
    <cellStyle name="Norma - Style3 2" xfId="387"/>
    <cellStyle name="Norma - Style4" xfId="388"/>
    <cellStyle name="Norma - Style4 2" xfId="389"/>
    <cellStyle name="Norma - Style5" xfId="390"/>
    <cellStyle name="Norma - Style5 2" xfId="391"/>
    <cellStyle name="Norma - Style6" xfId="392"/>
    <cellStyle name="Norma - Style6 2" xfId="393"/>
    <cellStyle name="Norma - Style7" xfId="394"/>
    <cellStyle name="Norma - Style7 2" xfId="395"/>
    <cellStyle name="Norma - Style8" xfId="396"/>
    <cellStyle name="Norma - Style8 2" xfId="397"/>
    <cellStyle name="Normal" xfId="0" builtinId="0"/>
    <cellStyle name="Normal - Estilo5" xfId="398"/>
    <cellStyle name="Normal - Estilo5 2" xfId="399"/>
    <cellStyle name="Normal - Estilo6" xfId="400"/>
    <cellStyle name="Normal - Estilo6 2" xfId="401"/>
    <cellStyle name="Normal - Estilo7" xfId="402"/>
    <cellStyle name="Normal - Estilo7 2" xfId="403"/>
    <cellStyle name="Normal - Estilo8" xfId="404"/>
    <cellStyle name="Normal - Estilo8 2" xfId="405"/>
    <cellStyle name="Normal - Style1" xfId="406"/>
    <cellStyle name="Normal (%)" xfId="407"/>
    <cellStyle name="Normal (No)" xfId="408"/>
    <cellStyle name="Normal 10" xfId="409"/>
    <cellStyle name="Normal 10 2" xfId="410"/>
    <cellStyle name="Normal 10 2 2" xfId="411"/>
    <cellStyle name="Normal 10 2 3" xfId="412"/>
    <cellStyle name="Normal 10 2 4" xfId="413"/>
    <cellStyle name="Normal 10 3" xfId="414"/>
    <cellStyle name="Normal 10 4" xfId="415"/>
    <cellStyle name="Normal 10 5" xfId="416"/>
    <cellStyle name="Normal 11" xfId="417"/>
    <cellStyle name="Normal 11 2" xfId="418"/>
    <cellStyle name="Normal 11 2 2" xfId="419"/>
    <cellStyle name="Normal 11 2 3" xfId="420"/>
    <cellStyle name="Normal 11 2 4" xfId="421"/>
    <cellStyle name="Normal 11 3" xfId="422"/>
    <cellStyle name="Normal 11 4" xfId="423"/>
    <cellStyle name="Normal 11 5" xfId="424"/>
    <cellStyle name="Normal 12" xfId="425"/>
    <cellStyle name="Normal 12 2" xfId="426"/>
    <cellStyle name="Normal 12 3" xfId="427"/>
    <cellStyle name="Normal 12 4" xfId="428"/>
    <cellStyle name="Normal 13" xfId="429"/>
    <cellStyle name="Normal 13 2" xfId="430"/>
    <cellStyle name="Normal 13 2 2" xfId="431"/>
    <cellStyle name="Normal 13 3" xfId="432"/>
    <cellStyle name="Normal 14" xfId="433"/>
    <cellStyle name="Normal 14 2" xfId="434"/>
    <cellStyle name="Normal 15" xfId="435"/>
    <cellStyle name="Normal 15 2" xfId="436"/>
    <cellStyle name="Normal 16" xfId="437"/>
    <cellStyle name="Normal 16 2" xfId="438"/>
    <cellStyle name="Normal 16 2 2" xfId="439"/>
    <cellStyle name="Normal 16 2 3" xfId="440"/>
    <cellStyle name="Normal 16 2_Plan1" xfId="441"/>
    <cellStyle name="Normal 16_Plan1" xfId="442"/>
    <cellStyle name="Normal 17" xfId="443"/>
    <cellStyle name="Normal 18" xfId="444"/>
    <cellStyle name="Normal 19" xfId="445"/>
    <cellStyle name="Normal 2" xfId="446"/>
    <cellStyle name="Normal 2 2" xfId="447"/>
    <cellStyle name="Normal 2 2 2" xfId="448"/>
    <cellStyle name="Normal 2 2 2 2" xfId="449"/>
    <cellStyle name="Normal 2 2 3" xfId="450"/>
    <cellStyle name="Normal 2 3" xfId="451"/>
    <cellStyle name="Normal 2 4" xfId="452"/>
    <cellStyle name="Normal 2 5" xfId="453"/>
    <cellStyle name="Normal 20" xfId="454"/>
    <cellStyle name="Normal 21" xfId="455"/>
    <cellStyle name="Normal 22" xfId="456"/>
    <cellStyle name="Normal 23" xfId="457"/>
    <cellStyle name="Normal 24" xfId="458"/>
    <cellStyle name="Normal 25" xfId="459"/>
    <cellStyle name="Normal 26" xfId="460"/>
    <cellStyle name="Normal 27" xfId="461"/>
    <cellStyle name="Normal 28" xfId="462"/>
    <cellStyle name="Normal 29" xfId="463"/>
    <cellStyle name="Normal 3" xfId="464"/>
    <cellStyle name="Normal 3 2" xfId="465"/>
    <cellStyle name="Normal 3 2 2" xfId="466"/>
    <cellStyle name="Normal 3 2 3" xfId="467"/>
    <cellStyle name="Normal 3 3" xfId="468"/>
    <cellStyle name="Normal 3 4" xfId="469"/>
    <cellStyle name="Normal 3 5" xfId="470"/>
    <cellStyle name="Normal 3 6" xfId="471"/>
    <cellStyle name="Normal 3 7" xfId="472"/>
    <cellStyle name="Normal 30" xfId="473"/>
    <cellStyle name="Normal 31" xfId="474"/>
    <cellStyle name="Normal 32" xfId="475"/>
    <cellStyle name="Normal 33" xfId="476"/>
    <cellStyle name="Normal 34" xfId="477"/>
    <cellStyle name="Normal 4" xfId="478"/>
    <cellStyle name="Normal 4 2" xfId="479"/>
    <cellStyle name="Normal 4 2 2" xfId="480"/>
    <cellStyle name="Normal 4 3" xfId="481"/>
    <cellStyle name="Normal 4 4" xfId="482"/>
    <cellStyle name="Normal 5" xfId="483"/>
    <cellStyle name="Normal 5 2" xfId="484"/>
    <cellStyle name="Normal 5 2 2" xfId="485"/>
    <cellStyle name="Normal 5 3" xfId="486"/>
    <cellStyle name="Normal 5 3 2" xfId="487"/>
    <cellStyle name="Normal 5 4" xfId="488"/>
    <cellStyle name="Normal 5 5" xfId="489"/>
    <cellStyle name="Normal 6" xfId="490"/>
    <cellStyle name="Normal 6 2" xfId="491"/>
    <cellStyle name="Normal 6 2 2" xfId="492"/>
    <cellStyle name="Normal 6 3" xfId="493"/>
    <cellStyle name="Normal 6 4" xfId="494"/>
    <cellStyle name="Normal 6 5" xfId="495"/>
    <cellStyle name="Normal 7" xfId="496"/>
    <cellStyle name="Normal 7 2" xfId="497"/>
    <cellStyle name="Normal 7 2 2" xfId="498"/>
    <cellStyle name="Normal 7 3" xfId="499"/>
    <cellStyle name="Normal 7 4" xfId="500"/>
    <cellStyle name="Normal 8" xfId="501"/>
    <cellStyle name="Normal 8 2" xfId="502"/>
    <cellStyle name="Normal 8 3" xfId="503"/>
    <cellStyle name="Normal 8 4" xfId="504"/>
    <cellStyle name="Normal 9" xfId="505"/>
    <cellStyle name="Normal 9 2" xfId="506"/>
    <cellStyle name="Normal 9 2 2" xfId="507"/>
    <cellStyle name="Normal 9 2 2 2" xfId="508"/>
    <cellStyle name="Normal 9 2 2 3" xfId="509"/>
    <cellStyle name="Normal 9 2 2 4" xfId="510"/>
    <cellStyle name="Normal 9 2 3" xfId="511"/>
    <cellStyle name="Normal 9 2 4" xfId="512"/>
    <cellStyle name="Normal 9 2 5" xfId="513"/>
    <cellStyle name="Normal 9 3" xfId="514"/>
    <cellStyle name="Normal 9 3 2" xfId="515"/>
    <cellStyle name="Normal 9 3 2 2" xfId="516"/>
    <cellStyle name="Normal 9 3 2 3" xfId="517"/>
    <cellStyle name="Normal 9 3 2 4" xfId="518"/>
    <cellStyle name="Normal 9 3 3" xfId="519"/>
    <cellStyle name="Normal 9 3 4" xfId="520"/>
    <cellStyle name="Normal 9 3 5" xfId="521"/>
    <cellStyle name="Normal 9 4" xfId="522"/>
    <cellStyle name="Normal 9 5" xfId="523"/>
    <cellStyle name="Normal 9 6" xfId="524"/>
    <cellStyle name="Normal_CRON INVEST - Operação da Rodovia EST 2" xfId="525"/>
    <cellStyle name="Normal_Custos Operacionais Ônibus 28fev01" xfId="526"/>
    <cellStyle name="Normal_Modelo de Reequilíbrio AutoBAn" xfId="527"/>
    <cellStyle name="NORMAL1" xfId="528"/>
    <cellStyle name="NORMAL1 2" xfId="529"/>
    <cellStyle name="Normale_AV-RmNa_GA028" xfId="530"/>
    <cellStyle name="Nota 2" xfId="531"/>
    <cellStyle name="Nota 2 2" xfId="532"/>
    <cellStyle name="Nota 2 3" xfId="533"/>
    <cellStyle name="Nota 2 4" xfId="534"/>
    <cellStyle name="Nota 2 5" xfId="535"/>
    <cellStyle name="Notas" xfId="536"/>
    <cellStyle name="Notas 2" xfId="537"/>
    <cellStyle name="Note" xfId="538"/>
    <cellStyle name="Note 2" xfId="539"/>
    <cellStyle name="Number [0]" xfId="540"/>
    <cellStyle name="Number [0] 2" xfId="541"/>
    <cellStyle name="Number [1]" xfId="542"/>
    <cellStyle name="Number [1] 2" xfId="543"/>
    <cellStyle name="Number [2]" xfId="544"/>
    <cellStyle name="Number [2] 2" xfId="545"/>
    <cellStyle name="Numer_2" xfId="546"/>
    <cellStyle name="Œ…‹æØ‚è [0.00]_BOQ" xfId="547"/>
    <cellStyle name="Œ…‹æØ‚è_BOQ" xfId="548"/>
    <cellStyle name="Output" xfId="549"/>
    <cellStyle name="Output 2" xfId="550"/>
    <cellStyle name="Output Amounts" xfId="551"/>
    <cellStyle name="Output Column Headings" xfId="552"/>
    <cellStyle name="Output Column Headings 2" xfId="553"/>
    <cellStyle name="Output Line Items" xfId="554"/>
    <cellStyle name="Output Line Items 2" xfId="555"/>
    <cellStyle name="Output Report Heading" xfId="556"/>
    <cellStyle name="Output Report Heading 2" xfId="557"/>
    <cellStyle name="Output Report Title" xfId="558"/>
    <cellStyle name="Output Report Title 2" xfId="559"/>
    <cellStyle name="Page heading" xfId="560"/>
    <cellStyle name="Page Number" xfId="561"/>
    <cellStyle name="pec." xfId="562"/>
    <cellStyle name="pec. 2" xfId="563"/>
    <cellStyle name="Percen - Estilo2" xfId="564"/>
    <cellStyle name="Percen - Estilo2 2" xfId="565"/>
    <cellStyle name="Percent [0]" xfId="566"/>
    <cellStyle name="Percent [0] 2" xfId="567"/>
    <cellStyle name="Percent [1]" xfId="568"/>
    <cellStyle name="Percent [1] 2" xfId="569"/>
    <cellStyle name="Percent [2]" xfId="570"/>
    <cellStyle name="Percent [2] 2" xfId="571"/>
    <cellStyle name="Percent 2" xfId="572"/>
    <cellStyle name="Percent 3" xfId="573"/>
    <cellStyle name="Percent[0]" xfId="574"/>
    <cellStyle name="Percent[0] 2" xfId="575"/>
    <cellStyle name="Percentual" xfId="576"/>
    <cellStyle name="Point" xfId="577"/>
    <cellStyle name="Point 2" xfId="578"/>
    <cellStyle name="police_géné" xfId="579"/>
    <cellStyle name="Ponto" xfId="580"/>
    <cellStyle name="Porcentagem" xfId="581" builtinId="5"/>
    <cellStyle name="Porcentagem 10" xfId="582"/>
    <cellStyle name="Porcentagem 10 2" xfId="583"/>
    <cellStyle name="Porcentagem 11" xfId="584"/>
    <cellStyle name="Porcentagem 12" xfId="585"/>
    <cellStyle name="Porcentagem 13" xfId="586"/>
    <cellStyle name="Porcentagem 14" xfId="587"/>
    <cellStyle name="Porcentagem 15" xfId="588"/>
    <cellStyle name="Porcentagem 16" xfId="589"/>
    <cellStyle name="Porcentagem 17" xfId="590"/>
    <cellStyle name="Porcentagem 18" xfId="591"/>
    <cellStyle name="Porcentagem 2" xfId="592"/>
    <cellStyle name="Porcentagem 2 2" xfId="593"/>
    <cellStyle name="Porcentagem 2 2 2" xfId="594"/>
    <cellStyle name="Porcentagem 2 3" xfId="595"/>
    <cellStyle name="Porcentagem 3" xfId="596"/>
    <cellStyle name="Porcentagem 3 2" xfId="597"/>
    <cellStyle name="Porcentagem 3 3" xfId="598"/>
    <cellStyle name="Porcentagem 4" xfId="599"/>
    <cellStyle name="Porcentagem 4 2" xfId="600"/>
    <cellStyle name="Porcentagem 5" xfId="601"/>
    <cellStyle name="Porcentagem 6" xfId="602"/>
    <cellStyle name="Porcentagem 7" xfId="603"/>
    <cellStyle name="Porcentagem 8" xfId="604"/>
    <cellStyle name="Porcentagem 8 2" xfId="605"/>
    <cellStyle name="Porcentagem 9" xfId="606"/>
    <cellStyle name="Porcentagem 9 2" xfId="607"/>
    <cellStyle name="Porcentagem 9 2 2" xfId="608"/>
    <cellStyle name="Porcentagem 9 3" xfId="609"/>
    <cellStyle name="Porcentaje" xfId="610"/>
    <cellStyle name="Porcentaje 2" xfId="611"/>
    <cellStyle name="Porcentual [0]" xfId="612"/>
    <cellStyle name="Porcentual 2" xfId="613"/>
    <cellStyle name="Porcentual_ADELBCO" xfId="614"/>
    <cellStyle name="Premissas" xfId="615"/>
    <cellStyle name="Premissas 2" xfId="616"/>
    <cellStyle name="Projeções" xfId="617"/>
    <cellStyle name="PSChar" xfId="618"/>
    <cellStyle name="PSChar 2" xfId="619"/>
    <cellStyle name="PSDate" xfId="620"/>
    <cellStyle name="PSDec" xfId="621"/>
    <cellStyle name="PSHeading" xfId="622"/>
    <cellStyle name="PSHeading 2" xfId="623"/>
    <cellStyle name="PSInt" xfId="624"/>
    <cellStyle name="PSSpacer" xfId="625"/>
    <cellStyle name="PSSpacer 2" xfId="626"/>
    <cellStyle name="Punto0" xfId="627"/>
    <cellStyle name="Red" xfId="628"/>
    <cellStyle name="Ricardo" xfId="629"/>
    <cellStyle name="RM" xfId="630"/>
    <cellStyle name="robs" xfId="631"/>
    <cellStyle name="robs 2" xfId="632"/>
    <cellStyle name="rodape" xfId="633"/>
    <cellStyle name="RowLevel_1_OUTPUT2" xfId="634"/>
    <cellStyle name="s]_x000d__x000a_load=_x000d__x000a_run=_x000d__x000a_NullPort=None_x000d__x000a_DosPrint=no_x000d__x000a_device=HP LaserJet 4ML,HPPCL5MS,\\CONTABILIDADE\Q_HDH9006P4_x000d__x000a__x000d__x000a_[Desktop]_x000d__x000a_" xfId="635"/>
    <cellStyle name="Saída 2" xfId="636"/>
    <cellStyle name="Salida" xfId="637"/>
    <cellStyle name="Salida 2" xfId="638"/>
    <cellStyle name="SAPBEXaggData" xfId="639"/>
    <cellStyle name="SAPBEXaggDataEmph" xfId="640"/>
    <cellStyle name="SAPBEXaggItem" xfId="641"/>
    <cellStyle name="SAPBEXaggItem 2" xfId="642"/>
    <cellStyle name="SAPBEXaggItemX" xfId="643"/>
    <cellStyle name="SAPBEXaggItemX 2" xfId="644"/>
    <cellStyle name="SAPBEXaggItemX 3" xfId="645"/>
    <cellStyle name="SAPBEXaggItemX 4" xfId="646"/>
    <cellStyle name="SAPBEXchaText" xfId="647"/>
    <cellStyle name="SAPBEXchaText 2" xfId="648"/>
    <cellStyle name="SAPBEXexcBad7" xfId="649"/>
    <cellStyle name="SAPBEXexcBad8" xfId="650"/>
    <cellStyle name="SAPBEXexcBad9" xfId="651"/>
    <cellStyle name="SAPBEXexcCritical4" xfId="652"/>
    <cellStyle name="SAPBEXexcCritical5" xfId="653"/>
    <cellStyle name="SAPBEXexcCritical6" xfId="654"/>
    <cellStyle name="SAPBEXexcGood1" xfId="655"/>
    <cellStyle name="SAPBEXexcGood2" xfId="656"/>
    <cellStyle name="SAPBEXexcGood3" xfId="657"/>
    <cellStyle name="SAPBEXfilterDrill" xfId="658"/>
    <cellStyle name="SAPBEXfilterDrill 2" xfId="659"/>
    <cellStyle name="SAPBEXfilterItem" xfId="660"/>
    <cellStyle name="SAPBEXfilterItem 2" xfId="661"/>
    <cellStyle name="SAPBEXfilterText" xfId="662"/>
    <cellStyle name="SAPBEXfilterText 2" xfId="663"/>
    <cellStyle name="SAPBEXformats" xfId="664"/>
    <cellStyle name="SAPBEXheaderItem" xfId="665"/>
    <cellStyle name="SAPBEXheaderItem 2" xfId="666"/>
    <cellStyle name="SAPBEXheaderText" xfId="667"/>
    <cellStyle name="SAPBEXheaderText 2" xfId="668"/>
    <cellStyle name="SAPBEXHLevel0" xfId="669"/>
    <cellStyle name="SAPBEXHLevel0 2" xfId="670"/>
    <cellStyle name="SAPBEXHLevel0 3" xfId="671"/>
    <cellStyle name="SAPBEXHLevel0 4" xfId="672"/>
    <cellStyle name="SAPBEXHLevel0X" xfId="673"/>
    <cellStyle name="SAPBEXHLevel0X 2" xfId="674"/>
    <cellStyle name="SAPBEXHLevel0X 3" xfId="675"/>
    <cellStyle name="SAPBEXHLevel0X 4" xfId="676"/>
    <cellStyle name="SAPBEXHLevel1" xfId="677"/>
    <cellStyle name="SAPBEXHLevel1 2" xfId="678"/>
    <cellStyle name="SAPBEXHLevel1 3" xfId="679"/>
    <cellStyle name="SAPBEXHLevel1 4" xfId="680"/>
    <cellStyle name="SAPBEXHLevel1X" xfId="681"/>
    <cellStyle name="SAPBEXHLevel1X 2" xfId="682"/>
    <cellStyle name="SAPBEXHLevel1X 3" xfId="683"/>
    <cellStyle name="SAPBEXHLevel1X 4" xfId="684"/>
    <cellStyle name="SAPBEXHLevel2" xfId="685"/>
    <cellStyle name="SAPBEXHLevel2 2" xfId="686"/>
    <cellStyle name="SAPBEXHLevel2 3" xfId="687"/>
    <cellStyle name="SAPBEXHLevel2 4" xfId="688"/>
    <cellStyle name="SAPBEXHLevel2X" xfId="689"/>
    <cellStyle name="SAPBEXHLevel2X 2" xfId="690"/>
    <cellStyle name="SAPBEXHLevel2X 3" xfId="691"/>
    <cellStyle name="SAPBEXHLevel2X 4" xfId="692"/>
    <cellStyle name="SAPBEXHLevel3" xfId="693"/>
    <cellStyle name="SAPBEXHLevel3 2" xfId="694"/>
    <cellStyle name="SAPBEXHLevel3 3" xfId="695"/>
    <cellStyle name="SAPBEXHLevel3 4" xfId="696"/>
    <cellStyle name="SAPBEXHLevel3X" xfId="697"/>
    <cellStyle name="SAPBEXHLevel3X 2" xfId="698"/>
    <cellStyle name="SAPBEXHLevel3X 3" xfId="699"/>
    <cellStyle name="SAPBEXHLevel3X 4" xfId="700"/>
    <cellStyle name="SAPBEXresData" xfId="701"/>
    <cellStyle name="SAPBEXresDataEmph" xfId="702"/>
    <cellStyle name="SAPBEXresItem" xfId="703"/>
    <cellStyle name="SAPBEXresItem 2" xfId="704"/>
    <cellStyle name="SAPBEXresItemX" xfId="705"/>
    <cellStyle name="SAPBEXresItemX 2" xfId="706"/>
    <cellStyle name="SAPBEXresItemX 3" xfId="707"/>
    <cellStyle name="SAPBEXresItemX 4" xfId="708"/>
    <cellStyle name="SAPBEXstdData" xfId="709"/>
    <cellStyle name="SAPBEXstdDataEmph" xfId="710"/>
    <cellStyle name="SAPBEXstdItem" xfId="711"/>
    <cellStyle name="SAPBEXstdItem 2" xfId="712"/>
    <cellStyle name="SAPBEXstdItemX" xfId="713"/>
    <cellStyle name="SAPBEXstdItemX 2" xfId="714"/>
    <cellStyle name="SAPBEXstdItemX 3" xfId="715"/>
    <cellStyle name="SAPBEXstdItemX 4" xfId="716"/>
    <cellStyle name="SAPBEXtitle" xfId="717"/>
    <cellStyle name="SAPBEXtitle 2" xfId="718"/>
    <cellStyle name="SAPBEXundefined" xfId="719"/>
    <cellStyle name="Sep. milhar [0]" xfId="720"/>
    <cellStyle name="Separador de milhares" xfId="721"/>
    <cellStyle name="Separador de milhares 10" xfId="722"/>
    <cellStyle name="Separador de milhares 11" xfId="723"/>
    <cellStyle name="Separador de milhares 11 2" xfId="724"/>
    <cellStyle name="Separador de milhares 11 2 2" xfId="725"/>
    <cellStyle name="Separador de milhares 11 3" xfId="726"/>
    <cellStyle name="Separador de milhares 11 3 2" xfId="727"/>
    <cellStyle name="Separador de milhares 11 4" xfId="728"/>
    <cellStyle name="Separador de milhares 12" xfId="729"/>
    <cellStyle name="Separador de milhares 12 2" xfId="730"/>
    <cellStyle name="Separador de milhares 12 2 2" xfId="731"/>
    <cellStyle name="Separador de milhares 12 3" xfId="732"/>
    <cellStyle name="Separador de milhares 12 3 2" xfId="733"/>
    <cellStyle name="Separador de milhares 12 4" xfId="734"/>
    <cellStyle name="Separador de milhares 13" xfId="735"/>
    <cellStyle name="Separador de milhares 13 2" xfId="736"/>
    <cellStyle name="Separador de milhares 13 2 2" xfId="737"/>
    <cellStyle name="Separador de milhares 13 3" xfId="738"/>
    <cellStyle name="Separador de milhares 14" xfId="739"/>
    <cellStyle name="Separador de milhares 14 2" xfId="740"/>
    <cellStyle name="Separador de milhares 2" xfId="741"/>
    <cellStyle name="Separador de milhares 2 2" xfId="742"/>
    <cellStyle name="Separador de milhares 2 3" xfId="743"/>
    <cellStyle name="Separador de milhares 2 3 2" xfId="744"/>
    <cellStyle name="Separador de milhares 2 4" xfId="745"/>
    <cellStyle name="Separador de milhares 2 5" xfId="746"/>
    <cellStyle name="Separador de milhares 2_Fluxo de Caixa 2011" xfId="747"/>
    <cellStyle name="Separador de milhares 3" xfId="748"/>
    <cellStyle name="Separador de milhares 4" xfId="749"/>
    <cellStyle name="Separador de milhares 4 2" xfId="750"/>
    <cellStyle name="Separador de milhares 4 3" xfId="751"/>
    <cellStyle name="Separador de milhares 5" xfId="752"/>
    <cellStyle name="Separador de milhares 5 2" xfId="753"/>
    <cellStyle name="Separador de milhares 6" xfId="754"/>
    <cellStyle name="Separador de milhares 6 2" xfId="755"/>
    <cellStyle name="Separador de milhares 6 3" xfId="756"/>
    <cellStyle name="Separador de milhares 7" xfId="757"/>
    <cellStyle name="Separador de milhares 8" xfId="758"/>
    <cellStyle name="Separador de milhares 8 2" xfId="759"/>
    <cellStyle name="Separador de milhares 9" xfId="760"/>
    <cellStyle name="Separador de milhares 9 2" xfId="761"/>
    <cellStyle name="Separador de milhares 9 2 2" xfId="762"/>
    <cellStyle name="Separador de milhares 9 2 2 2" xfId="763"/>
    <cellStyle name="Separador de milhares 9 2 3" xfId="764"/>
    <cellStyle name="Separador de milhares 9 3" xfId="765"/>
    <cellStyle name="Sous_tot" xfId="766"/>
    <cellStyle name="Standaard_Blad1" xfId="767"/>
    <cellStyle name="Standard format" xfId="768"/>
    <cellStyle name="Standard format 2" xfId="769"/>
    <cellStyle name="Standard_Anpassen der Amortisation" xfId="770"/>
    <cellStyle name="STYL1 - Style1" xfId="771"/>
    <cellStyle name="STYL1 - Style1 2" xfId="772"/>
    <cellStyle name="Table Head" xfId="773"/>
    <cellStyle name="Table Head 2" xfId="774"/>
    <cellStyle name="Table Head Aligned" xfId="775"/>
    <cellStyle name="Table Head Blue" xfId="776"/>
    <cellStyle name="Table Head Blue 2" xfId="777"/>
    <cellStyle name="Table Head Green" xfId="778"/>
    <cellStyle name="Table Head Green 2" xfId="779"/>
    <cellStyle name="Table Title" xfId="780"/>
    <cellStyle name="Table Title 2" xfId="781"/>
    <cellStyle name="Table Units" xfId="782"/>
    <cellStyle name="Table Units 2" xfId="783"/>
    <cellStyle name="TBD" xfId="784"/>
    <cellStyle name="Texto de advertencia" xfId="785"/>
    <cellStyle name="Texto de advertencia 2" xfId="786"/>
    <cellStyle name="Texto de Aviso 2" xfId="787"/>
    <cellStyle name="Texto Explicativo 2" xfId="788"/>
    <cellStyle name="þ_x001d_ð'_x000c_ïþ÷_x000c_âþU_x0001_o_x0014_x_x001c__x0007__x0001__x0001_" xfId="789"/>
    <cellStyle name="þ_x001d_ð'_x000c_ïþ÷_x000c_âþU_x0001_o_x0014_x_x001c__x0007__x0001__x0001_ 2" xfId="790"/>
    <cellStyle name="ticc" xfId="791"/>
    <cellStyle name="ticc 2" xfId="792"/>
    <cellStyle name="Title" xfId="793"/>
    <cellStyle name="Title 2" xfId="794"/>
    <cellStyle name="titre" xfId="795"/>
    <cellStyle name="titre 2" xfId="796"/>
    <cellStyle name="Titulo" xfId="797"/>
    <cellStyle name="Título 1 2" xfId="798"/>
    <cellStyle name="Título 2 2" xfId="799"/>
    <cellStyle name="Título 3 2" xfId="800"/>
    <cellStyle name="Título 4 2" xfId="801"/>
    <cellStyle name="Titulo1" xfId="802"/>
    <cellStyle name="Titulo2" xfId="803"/>
    <cellStyle name="Total" xfId="804" builtinId="25" customBuiltin="1"/>
    <cellStyle name="Total 2" xfId="805"/>
    <cellStyle name="Tusenskille [0]_P&amp;L+BAL" xfId="806"/>
    <cellStyle name="Tusenskille_P&amp;L+BAL" xfId="807"/>
    <cellStyle name="Unprot" xfId="808"/>
    <cellStyle name="Unprot$" xfId="809"/>
    <cellStyle name="Unprot_Demo nov10 (caderno)" xfId="810"/>
    <cellStyle name="Unprotect" xfId="811"/>
    <cellStyle name="Valuta (0)_Cash_flow" xfId="812"/>
    <cellStyle name="Valuta [0]_Aanbieding 2ste off, 24 jan 2000" xfId="813"/>
    <cellStyle name="Valuta_Aanbieding 2ste off, 24 jan 2000" xfId="814"/>
    <cellStyle name="Vírgula" xfId="815" builtinId="3"/>
    <cellStyle name="Vírgula 10" xfId="816"/>
    <cellStyle name="Vírgula 11" xfId="817"/>
    <cellStyle name="Vírgula 12" xfId="818"/>
    <cellStyle name="Vírgula 2" xfId="819"/>
    <cellStyle name="Vírgula 2 2" xfId="820"/>
    <cellStyle name="Vírgula 2 2 2" xfId="821"/>
    <cellStyle name="Vírgula 2 2 3" xfId="822"/>
    <cellStyle name="Vírgula 2 2 4" xfId="823"/>
    <cellStyle name="Vírgula 2 2 5" xfId="824"/>
    <cellStyle name="Vírgula 2 3" xfId="825"/>
    <cellStyle name="Vírgula 3" xfId="826"/>
    <cellStyle name="Vírgula 3 2" xfId="827"/>
    <cellStyle name="Vírgula 4" xfId="828"/>
    <cellStyle name="Vírgula 4 2" xfId="829"/>
    <cellStyle name="Vírgula 4 3" xfId="830"/>
    <cellStyle name="Vírgula 5" xfId="831"/>
    <cellStyle name="Vírgula 5 2" xfId="832"/>
    <cellStyle name="Vírgula 6" xfId="833"/>
    <cellStyle name="Vírgula 6 2" xfId="834"/>
    <cellStyle name="Vírgula 7" xfId="835"/>
    <cellStyle name="Vírgula 8" xfId="836"/>
    <cellStyle name="Vírgula 9" xfId="837"/>
    <cellStyle name="Währung [0]_Appendix 11" xfId="838"/>
    <cellStyle name="Währung_Appendix 11" xfId="839"/>
    <cellStyle name="Warning Text" xfId="840"/>
    <cellStyle name="white_text_on_blue" xfId="841"/>
    <cellStyle name="Year" xfId="842"/>
    <cellStyle name="חשבונאי1" xfId="843"/>
    <cellStyle name="חשבונאי2" xfId="844"/>
    <cellStyle name="מעוגל לאלפים" xfId="845"/>
    <cellStyle name="מעוגל למליונים" xfId="846"/>
    <cellStyle name="תאריך לועזי" xfId="847"/>
    <cellStyle name="תאריך עברי" xfId="848"/>
    <cellStyle name="一般_空白蘆洲供電CL603" xfId="849"/>
    <cellStyle name="貨幣[0]_p1 (2)" xfId="850"/>
  </cellStyles>
  <dxfs count="34">
    <dxf>
      <font>
        <color theme="0"/>
      </font>
    </dxf>
    <dxf>
      <font>
        <color theme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externalLink" Target="externalLinks/externalLink1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8.xml"/><Relationship Id="rId42" Type="http://schemas.openxmlformats.org/officeDocument/2006/relationships/externalLink" Target="externalLinks/externalLink16.xml"/><Relationship Id="rId47" Type="http://schemas.openxmlformats.org/officeDocument/2006/relationships/externalLink" Target="externalLinks/externalLink21.xml"/><Relationship Id="rId50" Type="http://schemas.openxmlformats.org/officeDocument/2006/relationships/externalLink" Target="externalLinks/externalLink24.xml"/><Relationship Id="rId55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7.xml"/><Relationship Id="rId38" Type="http://schemas.openxmlformats.org/officeDocument/2006/relationships/externalLink" Target="externalLinks/externalLink12.xml"/><Relationship Id="rId46" Type="http://schemas.openxmlformats.org/officeDocument/2006/relationships/externalLink" Target="externalLinks/externalLink20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3.xml"/><Relationship Id="rId41" Type="http://schemas.openxmlformats.org/officeDocument/2006/relationships/externalLink" Target="externalLinks/externalLink15.xml"/><Relationship Id="rId54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6.xml"/><Relationship Id="rId37" Type="http://schemas.openxmlformats.org/officeDocument/2006/relationships/externalLink" Target="externalLinks/externalLink11.xml"/><Relationship Id="rId40" Type="http://schemas.openxmlformats.org/officeDocument/2006/relationships/externalLink" Target="externalLinks/externalLink14.xml"/><Relationship Id="rId45" Type="http://schemas.openxmlformats.org/officeDocument/2006/relationships/externalLink" Target="externalLinks/externalLink19.xml"/><Relationship Id="rId53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2.xml"/><Relationship Id="rId36" Type="http://schemas.openxmlformats.org/officeDocument/2006/relationships/externalLink" Target="externalLinks/externalLink10.xml"/><Relationship Id="rId49" Type="http://schemas.openxmlformats.org/officeDocument/2006/relationships/externalLink" Target="externalLinks/externalLink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5.xml"/><Relationship Id="rId44" Type="http://schemas.openxmlformats.org/officeDocument/2006/relationships/externalLink" Target="externalLinks/externalLink18.xml"/><Relationship Id="rId52" Type="http://schemas.openxmlformats.org/officeDocument/2006/relationships/externalLink" Target="externalLinks/externalLink26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1.xml"/><Relationship Id="rId30" Type="http://schemas.openxmlformats.org/officeDocument/2006/relationships/externalLink" Target="externalLinks/externalLink4.xml"/><Relationship Id="rId35" Type="http://schemas.openxmlformats.org/officeDocument/2006/relationships/externalLink" Target="externalLinks/externalLink9.xml"/><Relationship Id="rId43" Type="http://schemas.openxmlformats.org/officeDocument/2006/relationships/externalLink" Target="externalLinks/externalLink17.xml"/><Relationship Id="rId48" Type="http://schemas.openxmlformats.org/officeDocument/2006/relationships/externalLink" Target="externalLinks/externalLink22.xml"/><Relationship Id="rId56" Type="http://schemas.openxmlformats.org/officeDocument/2006/relationships/calcChain" Target="calcChain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25.xml"/><Relationship Id="rId3" Type="http://schemas.openxmlformats.org/officeDocument/2006/relationships/worksheet" Target="worksheets/sheet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\trabalho\Desenvolvimento%20e%20Tecnologia\Ricardo%20Penteado\Federais\Lote11\L11CustosREV2-Real\Lote11-adm%20REV2-Real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\arquivo\Documents%20and%20Settings\administrador\My%20Documents\Linha%204\Proposta%20Comercial\Chiffrage%20Veolia%20-%20provisoire%20Veolia-%20200306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\arquivo\DOCUME~1\slustro\LOCALS~1\Temp\notesE487CF\DPGF-BPU-DE%20PV%20cegelec%20Lesly%20avec%20d&#233;p&#244;t%20Variante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\arquivo\Metro%20Jerusalem\O%20Cuchet\Cost%20estimate\System%20-%20Mnt%20Cost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\arquivo\Data\Data1702\Tel_Aviv\MAIN\M41\DBI_TAV_MAIN_051206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\arquivo\TEMP\~0044807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\arquivo\Offres%20GPI\Sao%20Paulo\chiffrage\Mod&#232;le%20Co&#251;ts%20O&amp;M%20SP%20230606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\arquivo\FLO-PO\b-locomotives%20&#233;lectriques\Le_Chine\chine%20juin%2004\Dpo505%20Chine%20juin%2004\version%20svt%20cahier%20des%20chges\ga\e-project\T03%209-2004\ga%20Chine%20%2014-10-04%20e-project%20T03%20sans%20coeff%20region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hzagc-fls001\usuarios\Adelaide.Camara\BACKUP\Portos%202005\Tecon%20Santos\Santos%20Brasil\FC_WS%20RioGrande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bsa039954a01\DATACENTER\Documents%20and%20Settings\F1807759\Desktop\Funcion&#225;rios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Flash\PLANOS\SPantAgo\S&#227;o%20Paulo\Construcap\Lote12\CC12_FI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hzagc-fls001\usuarios\bretas\Petrolina\PETROLINA\valuation2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fernando.fleury\Contacts\Documents\DATA%20CENTER%202009001\CONCESSOES\Estaduais\SAO%20PAULO\SABESP\PROPOSTA%20EDITAL\VIABILIDADE\CITI\231006%20final%20cqg\SPAT_Financial%20Model_v25_(2006.10.23)%20sh2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\arquivo\TEMP\DONNEES\Projets\Dubai\Costing\Pousse%20Sample\WBS-Example_Michel%20P_DB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%20446%20PPP%20Minas\Avaliacao%20economica%20-%20DER\Analise%20economica\RI-REST-AMPL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SUREF\Concession&#225;rio%20Rodovi&#225;rio\Complexo%20Metropolitano%20(Pol&#227;o)\quadro%20c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SUREF\Concession&#225;rio%20Rodovi&#225;rio\Complexo%20Metropolitano%20(Pol&#227;o)\quadro%20a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SUREF\Concession&#225;rio%20Rodovi&#225;rio\Complexo%20Metropolitano%20(Pol&#227;o)\quadro%20b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BR%20Vias\volumes%20nas%20pracas%20BRVias%20-%20menor%20tarifa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\arquivo\Data\DATAPRIV\Data1702\LOCO%20CHN\Contract180\M41\Bonds_LCN_04100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Part%204%20-%20Finacial%20Proposal\Annexes\Annex%204%20-Financial%20Mode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BR%20Vias\BRV%2008%20Mar%202005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\arquivo\Datapriv\Jerusalem\xPriceRev1\GA_line_depot_rs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\arquivo\TEMP\Elements%20Costs%20Kazan%20Metro_master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rsaod011r15\e\Loan_Products\Struc_Prod_Power_Oil&amp;Gas\SECTORS\POWER\LT%2030.09.04\Modelos\Modelo%20Uirapuru_BRDE_08.004.2005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\arquivo\projetos\Splice\Relatorio%203\02%20-%20VDMA\VDMA%20lote%2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te11-adm REV2-Real"/>
      <sheetName val="#REF"/>
    </sheetNames>
    <sheetDataSet>
      <sheetData sheetId="0" refreshError="1"/>
      <sheetData sheetId="1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ypothèses"/>
    </sheetNames>
    <sheetDataSet>
      <sheetData sheetId="0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PGF"/>
      <sheetName val="BPU"/>
      <sheetName val="DE"/>
      <sheetName val="carole"/>
      <sheetName val="Descriptif"/>
    </sheetNames>
    <sheetDataSet>
      <sheetData sheetId="0" refreshError="1"/>
      <sheetData sheetId="1" refreshError="1"/>
      <sheetData sheetId="2">
        <row r="1">
          <cell r="F1">
            <v>1.367</v>
          </cell>
          <cell r="H1">
            <v>57</v>
          </cell>
          <cell r="J1">
            <v>67</v>
          </cell>
        </row>
      </sheetData>
      <sheetData sheetId="3" refreshError="1"/>
      <sheetData sheetId="4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"/>
      <sheetName val="Comments"/>
      <sheetName val="Total"/>
      <sheetName val="Total Common"/>
      <sheetName val="Total IF"/>
      <sheetName val="Total RS"/>
      <sheetName val="Common"/>
      <sheetName val="IF"/>
      <sheetName val="RS"/>
    </sheetNames>
    <sheetDataSet>
      <sheetData sheetId="0" refreshError="1">
        <row r="12">
          <cell r="C12">
            <v>0.181919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plication kp &amp; ki"/>
      <sheetName val="Application knp"/>
      <sheetName val="Tables"/>
      <sheetName val="PIO"/>
      <sheetName val="Bench"/>
      <sheetName val="Targets"/>
      <sheetName val="Database"/>
      <sheetName val="PCP KXX"/>
      <sheetName val="TDC KXX"/>
      <sheetName val="TDC EPJ"/>
      <sheetName val="KXX TD BA"/>
      <sheetName val="Mark-U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ol"/>
      <sheetName val="HEDGING REQUEST FORM"/>
      <sheetName val="lists"/>
      <sheetName val="list deroulante1"/>
      <sheetName val="list deroulante2"/>
    </sheetNames>
    <sheetDataSet>
      <sheetData sheetId="0"/>
      <sheetData sheetId="1"/>
      <sheetData sheetId="2" refreshError="1">
        <row r="3">
          <cell r="A3" t="str">
            <v>DEM</v>
          </cell>
        </row>
        <row r="4">
          <cell r="A4" t="str">
            <v>BEF</v>
          </cell>
        </row>
        <row r="5">
          <cell r="A5" t="str">
            <v>EUR</v>
          </cell>
        </row>
        <row r="6">
          <cell r="A6" t="str">
            <v>ESP</v>
          </cell>
        </row>
        <row r="7">
          <cell r="A7" t="str">
            <v>FRF</v>
          </cell>
        </row>
        <row r="8">
          <cell r="A8" t="str">
            <v>IEP</v>
          </cell>
        </row>
        <row r="9">
          <cell r="A9" t="str">
            <v>ITL</v>
          </cell>
        </row>
        <row r="10">
          <cell r="A10" t="str">
            <v xml:space="preserve"> </v>
          </cell>
        </row>
        <row r="11">
          <cell r="A11" t="str">
            <v>NLG</v>
          </cell>
        </row>
        <row r="12">
          <cell r="A12" t="str">
            <v>ATS</v>
          </cell>
        </row>
        <row r="13">
          <cell r="A13" t="str">
            <v>PTE</v>
          </cell>
        </row>
        <row r="14">
          <cell r="A14" t="str">
            <v>FIM</v>
          </cell>
        </row>
        <row r="15">
          <cell r="A15" t="str">
            <v>USD</v>
          </cell>
        </row>
        <row r="16">
          <cell r="A16" t="str">
            <v>GBP</v>
          </cell>
        </row>
        <row r="17">
          <cell r="A17" t="str">
            <v>ECU</v>
          </cell>
        </row>
        <row r="18">
          <cell r="A18" t="str">
            <v>CHF</v>
          </cell>
        </row>
        <row r="19">
          <cell r="A19" t="str">
            <v>SEK</v>
          </cell>
        </row>
        <row r="20">
          <cell r="A20" t="str">
            <v>BRL</v>
          </cell>
        </row>
        <row r="21">
          <cell r="A21" t="str">
            <v>AUD</v>
          </cell>
        </row>
        <row r="22">
          <cell r="A22" t="str">
            <v>GRD</v>
          </cell>
        </row>
        <row r="23">
          <cell r="A23" t="str">
            <v>PLN</v>
          </cell>
        </row>
        <row r="24">
          <cell r="A24" t="str">
            <v>NOK</v>
          </cell>
        </row>
        <row r="25">
          <cell r="A25" t="str">
            <v>CAD</v>
          </cell>
        </row>
        <row r="26">
          <cell r="A26" t="str">
            <v>NZD</v>
          </cell>
        </row>
        <row r="27">
          <cell r="A27" t="str">
            <v>RUB</v>
          </cell>
        </row>
        <row r="28">
          <cell r="A28" t="str">
            <v>SEK</v>
          </cell>
        </row>
        <row r="29">
          <cell r="A29" t="str">
            <v>DKK</v>
          </cell>
        </row>
        <row r="30">
          <cell r="A30" t="str">
            <v>HKD</v>
          </cell>
        </row>
        <row r="31">
          <cell r="A31" t="str">
            <v>JPY</v>
          </cell>
        </row>
        <row r="32">
          <cell r="A32" t="str">
            <v>SGD</v>
          </cell>
        </row>
        <row r="33">
          <cell r="A33" t="str">
            <v>IDR</v>
          </cell>
        </row>
        <row r="34">
          <cell r="A34" t="str">
            <v>INR</v>
          </cell>
        </row>
        <row r="35">
          <cell r="A35" t="str">
            <v>CNY</v>
          </cell>
        </row>
        <row r="36">
          <cell r="A36" t="str">
            <v>TWD</v>
          </cell>
        </row>
        <row r="37">
          <cell r="A37" t="str">
            <v>THB</v>
          </cell>
        </row>
        <row r="38">
          <cell r="A38" t="str">
            <v>KRW</v>
          </cell>
        </row>
      </sheetData>
      <sheetData sheetId="3" refreshError="1"/>
      <sheetData sheetId="4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ypothèses devis"/>
      <sheetName val="Assumptions"/>
      <sheetName val="Interne"/>
      <sheetName val="Tps stations"/>
      <sheetName val="Plan exp trans"/>
      <sheetName val="Plan exp ph1"/>
      <sheetName val="Plan exp ph2"/>
      <sheetName val="Demande"/>
      <sheetName val="Coûts salariaux"/>
      <sheetName val="Organigr."/>
      <sheetName val="Mobilisation"/>
      <sheetName val="Fiscalité"/>
      <sheetName val="BILAN COUT O&amp;M"/>
      <sheetName val="Organigramme"/>
      <sheetName val="TransferSheet"/>
      <sheetName val="SORTIE COUTSBIS"/>
      <sheetName val="Coûts énergie"/>
      <sheetName val="Staff"/>
      <sheetName val="EPC Price"/>
      <sheetName val="Maintenance Price"/>
      <sheetName val="BILAN COUT O_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tête"/>
      <sheetName val="6kitsBOBOChine204alstom"/>
      <sheetName val="60locosresiduel04"/>
      <sheetName val="102FablocaleBOBOChine204alstom"/>
      <sheetName val="FFDChineor"/>
      <sheetName val="TTChine2lots12003"/>
      <sheetName val="12locosBOBOChine2or"/>
      <sheetName val="13kitsBOBOChine2alstomor"/>
      <sheetName val="155FablocaleBOBOChine2alstomor"/>
      <sheetName val="8locosBOBOChine2or"/>
      <sheetName val="6kitsBOBOChine2alstomor"/>
      <sheetName val="106FablocaleBOBOChine2alstomor"/>
      <sheetName val="récap als 120  orig"/>
      <sheetName val="16locosBOBOChine4"/>
      <sheetName val="21kitsBOBOChine4alstom"/>
      <sheetName val="203FablocaleBOBOChine4alstom"/>
      <sheetName val="20locosBOBOChine5"/>
      <sheetName val="30kitsBOBOChine5alstom"/>
      <sheetName val="250FablocaleBOBOChine5alstom"/>
      <sheetName val="TTChine2lots03"/>
      <sheetName val="FFDChine"/>
      <sheetName val="FFDChinelocalisation"/>
      <sheetName val="8locosBOBOChine2"/>
      <sheetName val="6kitsBOBOChine2alstom"/>
      <sheetName val="106FablocaleBOBOChine2alstom"/>
      <sheetName val="102FablocaleBOBOChine2alstom"/>
      <sheetName val="12locosBOBOChine3"/>
      <sheetName val="13kitsBOBOChine3alstom"/>
      <sheetName val="155FablocaleBOBOChine3alstom"/>
      <sheetName val="60locosresiduel"/>
      <sheetName val="FFDChine04"/>
      <sheetName val="FFDChinelocalisation04"/>
      <sheetName val="TTChine2lots04"/>
      <sheetName val="12locosBOBOChine304"/>
      <sheetName val="13kitsBOBOChine304"/>
      <sheetName val="155FablocaleBOBOChine304"/>
      <sheetName val="missions-divers"/>
      <sheetName val="ach et mat prem"/>
      <sheetName val="localis"/>
      <sheetName val="calc taxes"/>
      <sheetName val="knp "/>
      <sheetName val="réductions"/>
      <sheetName val="afferm"/>
      <sheetName val="baisse garantie"/>
      <sheetName val="récap als 180 2004 "/>
      <sheetName val="récap als 120 et 180 2004"/>
      <sheetName val="récap als 240 et 300"/>
      <sheetName val="récap als 120 et 180"/>
      <sheetName val="comp prix"/>
      <sheetName val="Comm"/>
      <sheetName val="rév"/>
      <sheetName val="LOC"/>
      <sheetName val="GA8_1"/>
      <sheetName val="risques"/>
      <sheetName val="eproject"/>
      <sheetName val="Connecteur"/>
      <sheetName val="Tau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>
        <row r="2">
          <cell r="J2" t="str">
            <v>FLO.AA/chine/DEV001 ed.b</v>
          </cell>
          <cell r="BL2" t="str">
            <v>Locomotives CHINE</v>
          </cell>
          <cell r="BW2" t="str">
            <v>KE</v>
          </cell>
        </row>
        <row r="487">
          <cell r="CF487">
            <v>1</v>
          </cell>
          <cell r="CG487" t="str">
            <v>FLO</v>
          </cell>
          <cell r="CH487" t="str">
            <v>PBU</v>
          </cell>
        </row>
        <row r="488">
          <cell r="CF488">
            <v>2</v>
          </cell>
          <cell r="CG488" t="str">
            <v>TLO</v>
          </cell>
          <cell r="CH488">
            <v>0</v>
          </cell>
          <cell r="CI488" t="str">
            <v>C</v>
          </cell>
          <cell r="CJ488">
            <v>0.04</v>
          </cell>
          <cell r="CK488" t="str">
            <v>PU</v>
          </cell>
        </row>
        <row r="489">
          <cell r="CF489">
            <v>3</v>
          </cell>
          <cell r="CG489" t="str">
            <v>TCO</v>
          </cell>
          <cell r="CI489" t="str">
            <v>C</v>
          </cell>
          <cell r="CJ489">
            <v>0.04</v>
          </cell>
          <cell r="CK489" t="str">
            <v>PU</v>
          </cell>
        </row>
        <row r="490">
          <cell r="CF490">
            <v>4</v>
          </cell>
          <cell r="CG490" t="str">
            <v>LEStract</v>
          </cell>
          <cell r="CH490">
            <v>0</v>
          </cell>
          <cell r="CI490" t="str">
            <v>C</v>
          </cell>
          <cell r="CJ490">
            <v>0.04</v>
          </cell>
          <cell r="CK490" t="str">
            <v>PU</v>
          </cell>
        </row>
        <row r="491">
          <cell r="CF491">
            <v>5</v>
          </cell>
          <cell r="CG491" t="str">
            <v>EMO</v>
          </cell>
          <cell r="CI491" t="str">
            <v>C</v>
          </cell>
          <cell r="CJ491">
            <v>0.04</v>
          </cell>
          <cell r="CK491" t="str">
            <v>PU</v>
          </cell>
        </row>
        <row r="492">
          <cell r="CF492">
            <v>6</v>
          </cell>
          <cell r="CG492" t="str">
            <v>EBE</v>
          </cell>
          <cell r="CI492" t="str">
            <v>C</v>
          </cell>
          <cell r="CJ492">
            <v>0.02</v>
          </cell>
          <cell r="CK492" t="str">
            <v>PU</v>
          </cell>
        </row>
        <row r="493">
          <cell r="CF493">
            <v>7</v>
          </cell>
          <cell r="CG493" t="str">
            <v>LES</v>
          </cell>
          <cell r="CI493" t="str">
            <v>C</v>
          </cell>
          <cell r="CJ493">
            <v>0.04</v>
          </cell>
          <cell r="CK493" t="str">
            <v>PU</v>
          </cell>
        </row>
        <row r="494">
          <cell r="CF494">
            <v>8</v>
          </cell>
          <cell r="CG494" t="str">
            <v>FBO</v>
          </cell>
          <cell r="CI494" t="str">
            <v>C</v>
          </cell>
          <cell r="CJ494">
            <v>0.04</v>
          </cell>
          <cell r="CK494" t="str">
            <v>PU</v>
          </cell>
        </row>
      </sheetData>
      <sheetData sheetId="52" refreshError="1"/>
      <sheetData sheetId="53" refreshError="1"/>
      <sheetData sheetId="54" refreshError="1"/>
      <sheetData sheetId="55" refreshError="1"/>
      <sheetData sheetId="56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de entrada"/>
      <sheetName val="Resumo Rec_Desp"/>
      <sheetName val="Indices"/>
      <sheetName val="Contein"/>
      <sheetName val="Grafico Cntr"/>
      <sheetName val="Rec-Oper"/>
      <sheetName val="Rec-Outras"/>
      <sheetName val="CronoMO"/>
      <sheetName val="TabSalarios"/>
      <sheetName val="Despesa MObra"/>
      <sheetName val="Crono_Equip"/>
      <sheetName val="Consumo Equip"/>
      <sheetName val="Despesa Equip"/>
      <sheetName val="Despesa Veic"/>
      <sheetName val="Crono Veic"/>
      <sheetName val="Consumo Veic"/>
      <sheetName val="Desp Adm"/>
      <sheetName val="Outorga"/>
      <sheetName val="Obra"/>
      <sheetName val="Conserva"/>
      <sheetName val="Módulo2"/>
      <sheetName val="Módulo1"/>
      <sheetName val="Módulo4"/>
      <sheetName val="Módulo3"/>
      <sheetName val="Módulo5"/>
      <sheetName val="Módulo6"/>
      <sheetName val="Módulo7"/>
    </sheetNames>
    <sheetDataSet>
      <sheetData sheetId="0" refreshError="1">
        <row r="32">
          <cell r="D32">
            <v>90</v>
          </cell>
        </row>
        <row r="34">
          <cell r="D34">
            <v>3</v>
          </cell>
        </row>
      </sheetData>
      <sheetData sheetId="1" refreshError="1"/>
      <sheetData sheetId="2" refreshError="1"/>
      <sheetData sheetId="3" refreshError="1"/>
      <sheetData sheetId="4" refreshError="1">
        <row r="3">
          <cell r="D3">
            <v>2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TEC"/>
      <sheetName val="Lista Festa"/>
      <sheetName val="Aniversariantes"/>
      <sheetName val="Planilha de Custos"/>
      <sheetName val="Lista Evento"/>
      <sheetName val="Funcionários"/>
      <sheetName val="SALARIOS"/>
    </sheetNames>
    <sheetDataSet>
      <sheetData sheetId="0" refreshError="1">
        <row r="7">
          <cell r="D7" t="str">
            <v>355-4040</v>
          </cell>
        </row>
        <row r="9">
          <cell r="D9" t="str">
            <v>340-9283</v>
          </cell>
        </row>
      </sheetData>
      <sheetData sheetId="1"/>
      <sheetData sheetId="2"/>
      <sheetData sheetId="3"/>
      <sheetData sheetId="4"/>
      <sheetData sheetId="5" refreshError="1"/>
      <sheetData sheetId="6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a"/>
      <sheetName val="QD3A"/>
      <sheetName val="QD4A"/>
      <sheetName val="QD1B"/>
      <sheetName val="QD2B"/>
      <sheetName val="QD3B"/>
      <sheetName val="Oferta"/>
      <sheetName val="QD5B"/>
      <sheetName val="QD6B"/>
      <sheetName val="QD7B"/>
      <sheetName val="QD8B"/>
      <sheetName val="QD9B"/>
      <sheetName val="Depreciação"/>
    </sheetNames>
    <sheetDataSet>
      <sheetData sheetId="0" refreshError="1">
        <row r="2">
          <cell r="A2" t="str">
            <v>QUADROS FINANCEIROS</v>
          </cell>
        </row>
        <row r="3">
          <cell r="A3" t="str">
            <v>(3A, 4A, 1B a 9B)</v>
          </cell>
        </row>
        <row r="5">
          <cell r="A5" t="str">
            <v>LOTE 12 - CONSTRUCAP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utput1"/>
      <sheetName val="1"/>
      <sheetName val="Resultados"/>
      <sheetName val="Painel de Controle"/>
      <sheetName val="SPE"/>
      <sheetName val="Valuation"/>
      <sheetName val="IS"/>
      <sheetName val="BS"/>
      <sheetName val="CF"/>
      <sheetName val="Funding"/>
      <sheetName val="Premissas Funding"/>
      <sheetName val="Balanço Prévio"/>
      <sheetName val="Entrada de Dados"/>
      <sheetName val="Sensib"/>
      <sheetName val="2"/>
      <sheetName val="Receitas"/>
      <sheetName val="Capex Estimado"/>
      <sheetName val="Capex Orçado"/>
      <sheetName val="Opex"/>
      <sheetName val="3"/>
      <sheetName val="Debt"/>
      <sheetName val="Auxiliar"/>
      <sheetName val="Resultados velho"/>
      <sheetName val="4"/>
      <sheetName val="Indicadores"/>
      <sheetName val="Rec Opex Capex"/>
      <sheetName val="Rec Totais (a)"/>
      <sheetName val="Rec Totais (b)"/>
      <sheetName val="Balanço"/>
      <sheetName val="Resultado"/>
      <sheetName val="Fluxos Acumulados"/>
      <sheetName val="Cap Dív"/>
      <sheetName val="DSCR - LTDE"/>
      <sheetName val="Rentabilidade"/>
      <sheetName val="Módulo2"/>
      <sheetName val="Módulo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N_16A"/>
      <sheetName val="PN_16B"/>
      <sheetName val="PN_16C"/>
      <sheetName val="PN_DF"/>
      <sheetName val="PN_FC"/>
      <sheetName val="PN_Outros"/>
      <sheetName val="Proativa"/>
      <sheetName val="MacroEcs"/>
      <sheetName val="Investments"/>
      <sheetName val="Funding"/>
      <sheetName val="Debt"/>
      <sheetName val="OperCalc"/>
      <sheetName val="Dividends"/>
      <sheetName val="Depreciation"/>
      <sheetName val="Taxes"/>
      <sheetName val="BS"/>
      <sheetName val="CF"/>
      <sheetName val="IS"/>
      <sheetName val="IS_Checking"/>
      <sheetName val="CF_Checking"/>
      <sheetName val="Inputs"/>
      <sheetName val="Results"/>
      <sheetName val="TabAcionista"/>
      <sheetName val="TabAcionista2"/>
      <sheetName val="TabConsolidada"/>
      <sheetName val="Controle"/>
      <sheetName val="Tables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>
        <row r="19">
          <cell r="G19">
            <v>226</v>
          </cell>
        </row>
        <row r="27">
          <cell r="G27">
            <v>0.1371514016515798</v>
          </cell>
        </row>
      </sheetData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FG"/>
      <sheetName val="WBS_SPEAKERS"/>
      <sheetName val="WBS_SPEAKERS DB"/>
      <sheetName val="DB Asssumptions"/>
    </sheetNames>
    <sheetDataSet>
      <sheetData sheetId="0" refreshError="1">
        <row r="2">
          <cell r="Q2" t="str">
            <v>D</v>
          </cell>
          <cell r="V2" t="str">
            <v>LAB_ING_SIF</v>
          </cell>
        </row>
        <row r="3">
          <cell r="Q3" t="str">
            <v>U</v>
          </cell>
          <cell r="V3" t="str">
            <v>LAB_ATAM_SIF</v>
          </cell>
        </row>
        <row r="4">
          <cell r="V4" t="str">
            <v>FRE_SIF</v>
          </cell>
        </row>
        <row r="17">
          <cell r="Q17" t="str">
            <v>NO_FIRMING</v>
          </cell>
        </row>
        <row r="18">
          <cell r="Q18" t="str">
            <v>YES_FIRMING</v>
          </cell>
        </row>
        <row r="20">
          <cell r="Q20" t="str">
            <v>value</v>
          </cell>
        </row>
      </sheetData>
      <sheetData sheetId="1"/>
      <sheetData sheetId="2"/>
      <sheetData sheetId="3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 1 INICIAIS"/>
      <sheetName val="Q 1 INICIAIS RESUMO"/>
      <sheetName val="Q 2 REST"/>
      <sheetName val="QUAD 2 REST RESUMO"/>
      <sheetName val="Q 3 DESCRITIVO RI-REST"/>
      <sheetName val="Q 3 DESC - MG050"/>
      <sheetName val="Q 3 DESC - BR491"/>
      <sheetName val="Q 3 DESC - BR265"/>
      <sheetName val="Q 4 QUANT ITV"/>
      <sheetName val="CRONOG"/>
      <sheetName val="Q 4 RESUMO ITV quant e preço"/>
      <sheetName val="Q 4 RES.ITV.ITEM "/>
      <sheetName val="QUAD 4 AMP RESUMO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ilhas Quadro C"/>
      <sheetName val="Quadro C"/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2"/>
      <sheetName val="13"/>
      <sheetName val="14"/>
      <sheetName val="15"/>
      <sheetName val="16"/>
      <sheetName val="17"/>
      <sheetName val="1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o"/>
      <sheetName val="A"/>
      <sheetName val="01"/>
      <sheetName val="02"/>
      <sheetName val="03"/>
      <sheetName val="04"/>
      <sheetName val="05"/>
      <sheetName val="06"/>
      <sheetName val="0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o"/>
      <sheetName val="B"/>
      <sheetName val="01"/>
      <sheetName val="02"/>
      <sheetName val="03"/>
      <sheetName val="04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ga_"/>
      <sheetName val="VDMA_"/>
      <sheetName val="Rec_"/>
      <sheetName val="Val_ref"/>
      <sheetName val="VA"/>
      <sheetName val="Fuga"/>
      <sheetName val="VDMA"/>
      <sheetName val="VDMA_ano"/>
      <sheetName val="Receita_ano"/>
    </sheetNames>
    <sheetDataSet>
      <sheetData sheetId="0"/>
      <sheetData sheetId="1"/>
      <sheetData sheetId="2" refreshError="1">
        <row r="9">
          <cell r="I9">
            <v>0.12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ynthèse"/>
      <sheetName val="Synthèse I Crédit-Fab"/>
      <sheetName val="Synthèse II - Cautions"/>
      <sheetName val="Cal Cautions"/>
      <sheetName val="Synthese III - LC"/>
      <sheetName val="Tables COFACE"/>
      <sheetName val="Classification Pays"/>
      <sheetName val="GraphCautions"/>
      <sheetName val="Prime COFACE"/>
      <sheetName val="Synthèse I Crédit_Fab"/>
    </sheetNames>
    <sheetDataSet>
      <sheetData sheetId="0"/>
      <sheetData sheetId="1">
        <row r="11">
          <cell r="C11">
            <v>350</v>
          </cell>
        </row>
        <row r="39">
          <cell r="C39">
            <v>1</v>
          </cell>
        </row>
      </sheetData>
      <sheetData sheetId="2"/>
      <sheetData sheetId="3"/>
      <sheetData sheetId="4"/>
      <sheetData sheetId="5">
        <row r="9">
          <cell r="D9" t="str">
            <v>Souverain</v>
          </cell>
          <cell r="E9" t="str">
            <v>Public</v>
          </cell>
          <cell r="F9" t="str">
            <v>Politique seul</v>
          </cell>
          <cell r="G9" t="str">
            <v>Grand Standing</v>
          </cell>
          <cell r="H9" t="str">
            <v>Privé</v>
          </cell>
          <cell r="I9" t="str">
            <v>Banque</v>
          </cell>
        </row>
        <row r="10">
          <cell r="D10">
            <v>1</v>
          </cell>
          <cell r="E10">
            <v>2</v>
          </cell>
          <cell r="F10">
            <v>3</v>
          </cell>
          <cell r="G10">
            <v>4</v>
          </cell>
          <cell r="H10">
            <v>5</v>
          </cell>
          <cell r="I10">
            <v>6</v>
          </cell>
        </row>
        <row r="14">
          <cell r="D14" t="str">
            <v>Souverain</v>
          </cell>
          <cell r="E14" t="str">
            <v>Public</v>
          </cell>
          <cell r="F14" t="str">
            <v>Politique seul</v>
          </cell>
          <cell r="G14" t="str">
            <v>Grand Standing</v>
          </cell>
          <cell r="H14" t="str">
            <v>Privé</v>
          </cell>
          <cell r="I14" t="str">
            <v>Banque</v>
          </cell>
        </row>
        <row r="15">
          <cell r="D15">
            <v>0.1</v>
          </cell>
          <cell r="E15">
            <v>0.107</v>
          </cell>
          <cell r="F15">
            <v>0.09</v>
          </cell>
          <cell r="G15">
            <v>0.11</v>
          </cell>
          <cell r="H15">
            <v>0.19900000000000001</v>
          </cell>
          <cell r="I15">
            <v>0.125</v>
          </cell>
        </row>
        <row r="16">
          <cell r="D16">
            <v>0.224</v>
          </cell>
          <cell r="E16">
            <v>0.23899999999999999</v>
          </cell>
          <cell r="F16">
            <v>0.20100000000000001</v>
          </cell>
          <cell r="G16">
            <v>0.23300000000000001</v>
          </cell>
          <cell r="H16">
            <v>0.32300000000000001</v>
          </cell>
          <cell r="I16">
            <v>0.248</v>
          </cell>
        </row>
        <row r="17">
          <cell r="D17">
            <v>0.38600000000000001</v>
          </cell>
          <cell r="E17">
            <v>0.41299999999999998</v>
          </cell>
          <cell r="F17">
            <v>0.34799999999999998</v>
          </cell>
          <cell r="G17">
            <v>0.39600000000000002</v>
          </cell>
          <cell r="H17">
            <v>0.48499999999999999</v>
          </cell>
          <cell r="I17">
            <v>0.41099999999999998</v>
          </cell>
        </row>
        <row r="18">
          <cell r="D18">
            <v>0.57499999999999996</v>
          </cell>
          <cell r="E18">
            <v>0.625</v>
          </cell>
          <cell r="F18">
            <v>0.51700000000000002</v>
          </cell>
          <cell r="G18">
            <v>0.58499999999999996</v>
          </cell>
          <cell r="H18">
            <v>0.67300000000000004</v>
          </cell>
          <cell r="I18">
            <v>0.59899999999999998</v>
          </cell>
        </row>
        <row r="19">
          <cell r="D19">
            <v>0.76600000000000001</v>
          </cell>
          <cell r="E19">
            <v>0.84299999999999997</v>
          </cell>
          <cell r="F19">
            <v>0.69</v>
          </cell>
          <cell r="G19">
            <v>0.77600000000000002</v>
          </cell>
          <cell r="H19">
            <v>0.86499999999999999</v>
          </cell>
          <cell r="I19">
            <v>0.79100000000000004</v>
          </cell>
        </row>
        <row r="20">
          <cell r="D20">
            <v>0.93100000000000005</v>
          </cell>
          <cell r="E20">
            <v>1.024</v>
          </cell>
          <cell r="F20">
            <v>0.83799999999999997</v>
          </cell>
          <cell r="G20">
            <v>0.94099999999999995</v>
          </cell>
          <cell r="H20">
            <v>1.0289999999999999</v>
          </cell>
          <cell r="I20">
            <v>0.95599999999999996</v>
          </cell>
        </row>
        <row r="21">
          <cell r="D21">
            <v>1.0980000000000001</v>
          </cell>
          <cell r="E21">
            <v>1.2070000000000001</v>
          </cell>
          <cell r="F21">
            <v>0.98799999999999999</v>
          </cell>
          <cell r="G21">
            <v>1.107</v>
          </cell>
          <cell r="H21">
            <v>1.196</v>
          </cell>
          <cell r="I21">
            <v>1.1220000000000001</v>
          </cell>
        </row>
        <row r="24">
          <cell r="D24" t="str">
            <v>Souverain</v>
          </cell>
          <cell r="E24" t="str">
            <v>Public</v>
          </cell>
          <cell r="F24" t="str">
            <v>Politique seul</v>
          </cell>
          <cell r="G24" t="str">
            <v>Grand Standing</v>
          </cell>
          <cell r="H24" t="str">
            <v>Privé</v>
          </cell>
          <cell r="I24" t="str">
            <v>Banque</v>
          </cell>
        </row>
        <row r="25">
          <cell r="D25">
            <v>0.34899999999999998</v>
          </cell>
          <cell r="E25">
            <v>0.373</v>
          </cell>
          <cell r="F25">
            <v>0.314</v>
          </cell>
          <cell r="G25">
            <v>0.34899999999999998</v>
          </cell>
          <cell r="H25">
            <v>0.34899999999999998</v>
          </cell>
          <cell r="I25">
            <v>0.34899999999999998</v>
          </cell>
        </row>
        <row r="26">
          <cell r="D26">
            <v>0.34799999999999998</v>
          </cell>
          <cell r="E26">
            <v>0.372</v>
          </cell>
          <cell r="F26">
            <v>0.313</v>
          </cell>
          <cell r="G26">
            <v>0.34799999999999998</v>
          </cell>
          <cell r="H26">
            <v>0.34799999999999998</v>
          </cell>
          <cell r="I26">
            <v>0.34799999999999998</v>
          </cell>
        </row>
        <row r="27">
          <cell r="D27">
            <v>0.39400000000000002</v>
          </cell>
          <cell r="E27">
            <v>0.42199999999999999</v>
          </cell>
          <cell r="F27">
            <v>0.35499999999999998</v>
          </cell>
          <cell r="G27">
            <v>0.39400000000000002</v>
          </cell>
          <cell r="H27">
            <v>0.39400000000000002</v>
          </cell>
          <cell r="I27">
            <v>0.39400000000000002</v>
          </cell>
        </row>
        <row r="28">
          <cell r="D28">
            <v>0.49099999999999999</v>
          </cell>
          <cell r="E28">
            <v>0.52600000000000002</v>
          </cell>
          <cell r="F28">
            <v>0.442</v>
          </cell>
          <cell r="G28">
            <v>0.49099999999999999</v>
          </cell>
          <cell r="H28">
            <v>0.49099999999999999</v>
          </cell>
          <cell r="I28">
            <v>0.49099999999999999</v>
          </cell>
        </row>
        <row r="29">
          <cell r="D29">
            <v>0.78600000000000003</v>
          </cell>
          <cell r="E29">
            <v>0.86499999999999999</v>
          </cell>
          <cell r="F29">
            <v>0.70699999999999996</v>
          </cell>
          <cell r="G29">
            <v>0.78600000000000003</v>
          </cell>
          <cell r="H29">
            <v>0.78600000000000003</v>
          </cell>
          <cell r="I29">
            <v>0.78600000000000003</v>
          </cell>
        </row>
        <row r="30">
          <cell r="D30">
            <v>1.1759999999999999</v>
          </cell>
          <cell r="E30">
            <v>1.294</v>
          </cell>
          <cell r="F30">
            <v>1.0580000000000001</v>
          </cell>
          <cell r="G30">
            <v>1.1759999999999999</v>
          </cell>
          <cell r="H30">
            <v>1.1759999999999999</v>
          </cell>
          <cell r="I30">
            <v>1.1759999999999999</v>
          </cell>
        </row>
        <row r="31">
          <cell r="D31">
            <v>1.764</v>
          </cell>
          <cell r="E31">
            <v>1.94</v>
          </cell>
          <cell r="F31">
            <v>1.5880000000000001</v>
          </cell>
          <cell r="G31">
            <v>1.764</v>
          </cell>
          <cell r="H31">
            <v>1.764</v>
          </cell>
          <cell r="I31">
            <v>1.764</v>
          </cell>
        </row>
        <row r="36">
          <cell r="D36" t="str">
            <v>Souverain</v>
          </cell>
          <cell r="E36" t="str">
            <v>Public</v>
          </cell>
          <cell r="F36" t="str">
            <v>Politique seul</v>
          </cell>
          <cell r="G36" t="str">
            <v>Grand Standing</v>
          </cell>
          <cell r="H36" t="str">
            <v>Privé</v>
          </cell>
          <cell r="I36" t="str">
            <v>Banque</v>
          </cell>
        </row>
        <row r="37">
          <cell r="D37">
            <v>0.1</v>
          </cell>
          <cell r="E37">
            <v>0.107</v>
          </cell>
          <cell r="F37">
            <v>0.09</v>
          </cell>
          <cell r="G37">
            <v>0.11</v>
          </cell>
          <cell r="H37">
            <v>0.2</v>
          </cell>
        </row>
        <row r="38">
          <cell r="D38">
            <v>0.22500000000000001</v>
          </cell>
          <cell r="E38">
            <v>0.24099999999999999</v>
          </cell>
          <cell r="F38">
            <v>0.20300000000000001</v>
          </cell>
          <cell r="G38">
            <v>0.23499999999999999</v>
          </cell>
          <cell r="H38">
            <v>0.32500000000000001</v>
          </cell>
        </row>
        <row r="39">
          <cell r="D39">
            <v>0.39200000000000002</v>
          </cell>
          <cell r="E39">
            <v>0.41899999999999998</v>
          </cell>
          <cell r="F39">
            <v>0.35299999999999998</v>
          </cell>
          <cell r="G39">
            <v>0.40200000000000002</v>
          </cell>
          <cell r="H39">
            <v>0.49199999999999999</v>
          </cell>
        </row>
        <row r="40">
          <cell r="D40">
            <v>0.58499999999999996</v>
          </cell>
          <cell r="E40">
            <v>0.626</v>
          </cell>
          <cell r="F40">
            <v>0.52700000000000002</v>
          </cell>
          <cell r="G40">
            <v>0.59499999999999997</v>
          </cell>
          <cell r="H40">
            <v>0.68500000000000005</v>
          </cell>
        </row>
        <row r="41">
          <cell r="D41">
            <v>0.78</v>
          </cell>
          <cell r="E41">
            <v>0.85799999999999998</v>
          </cell>
          <cell r="F41">
            <v>0.70199999999999996</v>
          </cell>
          <cell r="G41">
            <v>0.79</v>
          </cell>
          <cell r="H41">
            <v>0.88</v>
          </cell>
        </row>
        <row r="42">
          <cell r="D42">
            <v>0.95</v>
          </cell>
          <cell r="E42">
            <v>1.0449999999999999</v>
          </cell>
          <cell r="F42">
            <v>0.85499999999999998</v>
          </cell>
          <cell r="G42">
            <v>0.96</v>
          </cell>
          <cell r="H42">
            <v>1.05</v>
          </cell>
        </row>
        <row r="43">
          <cell r="D43">
            <v>1.1200000000000001</v>
          </cell>
          <cell r="E43">
            <v>1.232</v>
          </cell>
          <cell r="F43">
            <v>1.008</v>
          </cell>
          <cell r="G43">
            <v>1.1299999999999999</v>
          </cell>
          <cell r="H43">
            <v>1.22</v>
          </cell>
        </row>
        <row r="46">
          <cell r="D46" t="str">
            <v>Souverain</v>
          </cell>
          <cell r="E46" t="str">
            <v>Public</v>
          </cell>
          <cell r="F46" t="str">
            <v>Politique seul</v>
          </cell>
          <cell r="G46" t="str">
            <v>Grand Standing</v>
          </cell>
          <cell r="H46" t="str">
            <v>Privé</v>
          </cell>
          <cell r="I46" t="str">
            <v>Banque</v>
          </cell>
        </row>
        <row r="47">
          <cell r="D47">
            <v>0.35</v>
          </cell>
          <cell r="E47">
            <v>0.375</v>
          </cell>
          <cell r="F47">
            <v>0.315</v>
          </cell>
          <cell r="G47">
            <v>0.35</v>
          </cell>
          <cell r="H47">
            <v>0.35</v>
          </cell>
        </row>
        <row r="48">
          <cell r="D48">
            <v>0.35</v>
          </cell>
          <cell r="E48">
            <v>0.375</v>
          </cell>
          <cell r="F48">
            <v>0.315</v>
          </cell>
          <cell r="G48">
            <v>0.35</v>
          </cell>
          <cell r="H48">
            <v>0.35</v>
          </cell>
        </row>
        <row r="49">
          <cell r="D49">
            <v>0.4</v>
          </cell>
          <cell r="E49">
            <v>0.42799999999999999</v>
          </cell>
          <cell r="F49">
            <v>0.36</v>
          </cell>
          <cell r="G49">
            <v>0.4</v>
          </cell>
          <cell r="H49">
            <v>0.4</v>
          </cell>
        </row>
        <row r="50">
          <cell r="D50">
            <v>0.5</v>
          </cell>
          <cell r="E50">
            <v>0.53500000000000003</v>
          </cell>
          <cell r="F50">
            <v>0.45</v>
          </cell>
          <cell r="G50">
            <v>0.5</v>
          </cell>
          <cell r="H50">
            <v>0.5</v>
          </cell>
        </row>
        <row r="51">
          <cell r="D51">
            <v>0.8</v>
          </cell>
          <cell r="E51">
            <v>0.88</v>
          </cell>
          <cell r="F51">
            <v>0.72</v>
          </cell>
          <cell r="G51">
            <v>0.8</v>
          </cell>
          <cell r="H51">
            <v>0.8</v>
          </cell>
        </row>
        <row r="52">
          <cell r="D52">
            <v>1.2</v>
          </cell>
          <cell r="E52">
            <v>1.32</v>
          </cell>
          <cell r="F52">
            <v>1.08</v>
          </cell>
          <cell r="G52">
            <v>1.2</v>
          </cell>
          <cell r="H52">
            <v>1.2</v>
          </cell>
        </row>
        <row r="53">
          <cell r="D53">
            <v>1.8</v>
          </cell>
          <cell r="E53">
            <v>1.98</v>
          </cell>
          <cell r="F53">
            <v>1.62</v>
          </cell>
          <cell r="G53">
            <v>1.8</v>
          </cell>
          <cell r="H53">
            <v>1.8</v>
          </cell>
        </row>
        <row r="59">
          <cell r="D59">
            <v>1</v>
          </cell>
          <cell r="E59">
            <v>2E-3</v>
          </cell>
        </row>
        <row r="60">
          <cell r="D60">
            <v>2</v>
          </cell>
          <cell r="E60">
            <v>2.5000000000000001E-3</v>
          </cell>
        </row>
        <row r="61">
          <cell r="D61">
            <v>3</v>
          </cell>
          <cell r="E61">
            <v>3.5000000000000001E-3</v>
          </cell>
        </row>
        <row r="62">
          <cell r="D62">
            <v>4</v>
          </cell>
          <cell r="E62">
            <v>5.4999999999999997E-3</v>
          </cell>
        </row>
        <row r="63">
          <cell r="D63">
            <v>5</v>
          </cell>
          <cell r="E63">
            <v>8.5000000000000006E-3</v>
          </cell>
        </row>
        <row r="64">
          <cell r="D64">
            <v>6</v>
          </cell>
          <cell r="E64">
            <v>1.2500000000000001E-2</v>
          </cell>
        </row>
        <row r="65">
          <cell r="D65">
            <v>7</v>
          </cell>
          <cell r="E65">
            <v>1.6500000000000001E-2</v>
          </cell>
        </row>
        <row r="69">
          <cell r="D69" t="str">
            <v>Oui</v>
          </cell>
          <cell r="E69">
            <v>1</v>
          </cell>
          <cell r="G69" t="str">
            <v>Crédit Acheteur</v>
          </cell>
        </row>
        <row r="70">
          <cell r="D70" t="str">
            <v>Non</v>
          </cell>
          <cell r="E70">
            <v>2</v>
          </cell>
          <cell r="G70" t="str">
            <v>Crédit Fournisseur</v>
          </cell>
        </row>
        <row r="73">
          <cell r="G73" t="str">
            <v>Garantie standard</v>
          </cell>
        </row>
        <row r="74">
          <cell r="G74" t="str">
            <v>Garantie BTP</v>
          </cell>
        </row>
      </sheetData>
      <sheetData sheetId="6">
        <row r="8">
          <cell r="A8" t="str">
            <v>ABU DHABI</v>
          </cell>
          <cell r="B8">
            <v>2</v>
          </cell>
        </row>
        <row r="9">
          <cell r="A9" t="str">
            <v>AFGHANISTAN</v>
          </cell>
          <cell r="B9">
            <v>7</v>
          </cell>
        </row>
        <row r="10">
          <cell r="A10" t="str">
            <v>AFRIQUE DU SUD</v>
          </cell>
          <cell r="B10">
            <v>3</v>
          </cell>
        </row>
        <row r="11">
          <cell r="A11" t="str">
            <v>AJMAN</v>
          </cell>
          <cell r="B11">
            <v>3</v>
          </cell>
        </row>
        <row r="12">
          <cell r="A12" t="str">
            <v>ALBANIE</v>
          </cell>
          <cell r="B12">
            <v>3</v>
          </cell>
        </row>
        <row r="13">
          <cell r="A13" t="str">
            <v>ALGERIE</v>
          </cell>
          <cell r="B13">
            <v>3</v>
          </cell>
        </row>
        <row r="14">
          <cell r="A14" t="str">
            <v>ALLEMAGNE</v>
          </cell>
          <cell r="B14">
            <v>3</v>
          </cell>
        </row>
        <row r="15">
          <cell r="A15" t="str">
            <v>ANGOLA</v>
          </cell>
          <cell r="B15">
            <v>3</v>
          </cell>
        </row>
        <row r="16">
          <cell r="A16" t="str">
            <v>ANTILLES NEERLANDAISES</v>
          </cell>
          <cell r="B16">
            <v>3</v>
          </cell>
        </row>
        <row r="17">
          <cell r="A17" t="str">
            <v>ARABIE SAOUDITE</v>
          </cell>
          <cell r="B17">
            <v>3</v>
          </cell>
        </row>
        <row r="18">
          <cell r="A18" t="str">
            <v>ARUBA</v>
          </cell>
          <cell r="B18">
            <v>3</v>
          </cell>
        </row>
        <row r="19">
          <cell r="A19" t="str">
            <v>ARGENTINE</v>
          </cell>
          <cell r="B19">
            <v>3</v>
          </cell>
        </row>
        <row r="20">
          <cell r="A20" t="str">
            <v>ARMENIE</v>
          </cell>
          <cell r="B20">
            <v>3</v>
          </cell>
        </row>
        <row r="21">
          <cell r="A21" t="str">
            <v>AUSTRALIE</v>
          </cell>
          <cell r="B21">
            <v>3</v>
          </cell>
        </row>
        <row r="22">
          <cell r="A22" t="str">
            <v>AUTRICHE</v>
          </cell>
          <cell r="B22">
            <v>3</v>
          </cell>
        </row>
        <row r="23">
          <cell r="A23" t="str">
            <v>AZERBAIDJAN</v>
          </cell>
          <cell r="B23">
            <v>3</v>
          </cell>
        </row>
        <row r="24">
          <cell r="A24" t="str">
            <v>BAHAMAS</v>
          </cell>
          <cell r="B24">
            <v>3</v>
          </cell>
        </row>
        <row r="25">
          <cell r="A25" t="str">
            <v>BAHREIN</v>
          </cell>
          <cell r="B25">
            <v>3</v>
          </cell>
        </row>
        <row r="26">
          <cell r="A26" t="str">
            <v>BANGLADESH</v>
          </cell>
          <cell r="B26">
            <v>3</v>
          </cell>
        </row>
        <row r="27">
          <cell r="A27" t="str">
            <v>BARBADE</v>
          </cell>
          <cell r="B27">
            <v>3</v>
          </cell>
        </row>
        <row r="28">
          <cell r="A28" t="str">
            <v>BELGIQUE</v>
          </cell>
          <cell r="B28">
            <v>3</v>
          </cell>
        </row>
        <row r="29">
          <cell r="A29" t="str">
            <v>BELIZE</v>
          </cell>
          <cell r="B29">
            <v>3</v>
          </cell>
        </row>
        <row r="30">
          <cell r="A30" t="str">
            <v>BENIN</v>
          </cell>
          <cell r="B30">
            <v>3</v>
          </cell>
        </row>
        <row r="31">
          <cell r="A31" t="str">
            <v>BERMUDES</v>
          </cell>
          <cell r="B31">
            <v>3</v>
          </cell>
        </row>
        <row r="32">
          <cell r="A32" t="str">
            <v>BHOUTAN</v>
          </cell>
          <cell r="B32">
            <v>3</v>
          </cell>
        </row>
        <row r="33">
          <cell r="A33" t="str">
            <v>BIELORUSSIE</v>
          </cell>
          <cell r="B33">
            <v>3</v>
          </cell>
        </row>
        <row r="34">
          <cell r="A34" t="str">
            <v>BOLIVIE</v>
          </cell>
          <cell r="B34">
            <v>3</v>
          </cell>
        </row>
        <row r="35">
          <cell r="A35" t="str">
            <v>BOSNIE HERZEGOVINE</v>
          </cell>
          <cell r="B35">
            <v>3</v>
          </cell>
        </row>
        <row r="36">
          <cell r="A36" t="str">
            <v>BOSTWANA</v>
          </cell>
          <cell r="B36">
            <v>3</v>
          </cell>
        </row>
        <row r="37">
          <cell r="A37" t="str">
            <v>BRESIL</v>
          </cell>
          <cell r="B37">
            <v>3</v>
          </cell>
        </row>
        <row r="38">
          <cell r="A38" t="str">
            <v>BRUNEI</v>
          </cell>
          <cell r="B38">
            <v>3</v>
          </cell>
        </row>
        <row r="39">
          <cell r="A39" t="str">
            <v>BULGARIE</v>
          </cell>
          <cell r="B39">
            <v>3</v>
          </cell>
        </row>
        <row r="40">
          <cell r="A40" t="str">
            <v>BURKINA FASO</v>
          </cell>
          <cell r="B40">
            <v>3</v>
          </cell>
        </row>
        <row r="41">
          <cell r="A41" t="str">
            <v>BURUNDI</v>
          </cell>
          <cell r="B41">
            <v>3</v>
          </cell>
        </row>
        <row r="42">
          <cell r="A42" t="str">
            <v>CAMBODGE</v>
          </cell>
          <cell r="B42">
            <v>3</v>
          </cell>
        </row>
        <row r="43">
          <cell r="A43" t="str">
            <v>CAMEROUN</v>
          </cell>
          <cell r="B43">
            <v>3</v>
          </cell>
        </row>
        <row r="44">
          <cell r="A44" t="str">
            <v>CANADA</v>
          </cell>
          <cell r="B44">
            <v>3</v>
          </cell>
        </row>
        <row r="45">
          <cell r="A45" t="str">
            <v>CAP VERT</v>
          </cell>
          <cell r="B45">
            <v>3</v>
          </cell>
        </row>
        <row r="46">
          <cell r="A46" t="str">
            <v>CARAIBES (Antigua)</v>
          </cell>
          <cell r="B46">
            <v>3</v>
          </cell>
        </row>
        <row r="47">
          <cell r="A47" t="str">
            <v>CENTRAFRIQUE</v>
          </cell>
          <cell r="B47">
            <v>3</v>
          </cell>
        </row>
        <row r="48">
          <cell r="A48" t="str">
            <v>CHILI</v>
          </cell>
          <cell r="B48">
            <v>3</v>
          </cell>
        </row>
        <row r="49">
          <cell r="A49" t="str">
            <v>CHINE</v>
          </cell>
          <cell r="B49">
            <v>2</v>
          </cell>
        </row>
        <row r="50">
          <cell r="A50" t="str">
            <v>CHYPRE</v>
          </cell>
          <cell r="B50">
            <v>3</v>
          </cell>
        </row>
        <row r="51">
          <cell r="A51" t="str">
            <v>COLOMBIE</v>
          </cell>
          <cell r="B51">
            <v>3</v>
          </cell>
        </row>
        <row r="52">
          <cell r="A52" t="str">
            <v>COMORES</v>
          </cell>
          <cell r="B52">
            <v>3</v>
          </cell>
        </row>
        <row r="53">
          <cell r="A53" t="str">
            <v>CONGO</v>
          </cell>
          <cell r="B53">
            <v>3</v>
          </cell>
        </row>
        <row r="54">
          <cell r="A54" t="str">
            <v>COREE DU SUD</v>
          </cell>
          <cell r="B54">
            <v>3</v>
          </cell>
        </row>
        <row r="55">
          <cell r="A55" t="str">
            <v>COREE REP. POP. DEM.</v>
          </cell>
          <cell r="B55">
            <v>3</v>
          </cell>
        </row>
        <row r="56">
          <cell r="A56" t="str">
            <v>COSTA RICA</v>
          </cell>
          <cell r="B56">
            <v>3</v>
          </cell>
        </row>
        <row r="57">
          <cell r="A57" t="str">
            <v>COTE D’IVOIRE</v>
          </cell>
          <cell r="B57">
            <v>3</v>
          </cell>
        </row>
        <row r="58">
          <cell r="A58" t="str">
            <v>CROATIE</v>
          </cell>
          <cell r="B58">
            <v>3</v>
          </cell>
        </row>
        <row r="59">
          <cell r="A59" t="str">
            <v>CUBA</v>
          </cell>
          <cell r="B59">
            <v>3</v>
          </cell>
        </row>
        <row r="60">
          <cell r="A60" t="str">
            <v>DANEMARK</v>
          </cell>
          <cell r="B60">
            <v>3</v>
          </cell>
        </row>
        <row r="61">
          <cell r="A61" t="str">
            <v>DJIBOUTI</v>
          </cell>
          <cell r="B61">
            <v>3</v>
          </cell>
        </row>
        <row r="62">
          <cell r="A62" t="str">
            <v>DUBAI</v>
          </cell>
          <cell r="B62">
            <v>3</v>
          </cell>
        </row>
        <row r="63">
          <cell r="A63" t="str">
            <v>EGYPTE</v>
          </cell>
          <cell r="B63">
            <v>3</v>
          </cell>
        </row>
        <row r="64">
          <cell r="A64" t="str">
            <v>EMIRATS A.U</v>
          </cell>
          <cell r="B64">
            <v>3</v>
          </cell>
        </row>
        <row r="65">
          <cell r="A65" t="str">
            <v>EQUATEUR</v>
          </cell>
          <cell r="B65">
            <v>3</v>
          </cell>
        </row>
        <row r="66">
          <cell r="A66" t="str">
            <v>ERYTHREE</v>
          </cell>
          <cell r="B66">
            <v>3</v>
          </cell>
        </row>
        <row r="67">
          <cell r="A67" t="str">
            <v>ESPAGNE</v>
          </cell>
          <cell r="B67">
            <v>3</v>
          </cell>
        </row>
        <row r="68">
          <cell r="A68" t="str">
            <v>ESTONIE</v>
          </cell>
          <cell r="B68">
            <v>3</v>
          </cell>
        </row>
        <row r="69">
          <cell r="A69" t="str">
            <v>ETATS UNIS</v>
          </cell>
          <cell r="B69">
            <v>3</v>
          </cell>
        </row>
        <row r="70">
          <cell r="A70" t="str">
            <v>ETHIOPIE</v>
          </cell>
          <cell r="B70">
            <v>3</v>
          </cell>
        </row>
        <row r="71">
          <cell r="A71" t="str">
            <v>Ex YOUGOSLAVIE</v>
          </cell>
          <cell r="B71">
            <v>3</v>
          </cell>
        </row>
        <row r="72">
          <cell r="A72" t="str">
            <v>FIDJI</v>
          </cell>
          <cell r="B72">
            <v>3</v>
          </cell>
        </row>
        <row r="73">
          <cell r="A73" t="str">
            <v>FINLANDE</v>
          </cell>
          <cell r="B73">
            <v>3</v>
          </cell>
        </row>
        <row r="74">
          <cell r="A74" t="str">
            <v>FUJAIRAH</v>
          </cell>
          <cell r="B74">
            <v>3</v>
          </cell>
        </row>
        <row r="75">
          <cell r="A75" t="str">
            <v>GABON</v>
          </cell>
          <cell r="B75">
            <v>3</v>
          </cell>
        </row>
        <row r="76">
          <cell r="A76" t="str">
            <v>GAMBIE</v>
          </cell>
          <cell r="B76">
            <v>3</v>
          </cell>
        </row>
        <row r="77">
          <cell r="A77" t="str">
            <v>GEORGIE</v>
          </cell>
          <cell r="B77">
            <v>3</v>
          </cell>
        </row>
        <row r="78">
          <cell r="A78" t="str">
            <v>GHANA</v>
          </cell>
          <cell r="B78">
            <v>3</v>
          </cell>
        </row>
        <row r="79">
          <cell r="A79" t="str">
            <v>GRECE</v>
          </cell>
          <cell r="B79">
            <v>3</v>
          </cell>
        </row>
        <row r="80">
          <cell r="A80" t="str">
            <v>GRENADINES SAINT VINCENT</v>
          </cell>
          <cell r="B80">
            <v>3</v>
          </cell>
        </row>
        <row r="81">
          <cell r="A81" t="str">
            <v>GUATEMALA</v>
          </cell>
          <cell r="B81">
            <v>3</v>
          </cell>
        </row>
        <row r="82">
          <cell r="A82" t="str">
            <v>GUINEE</v>
          </cell>
          <cell r="B82">
            <v>3</v>
          </cell>
        </row>
        <row r="83">
          <cell r="A83" t="str">
            <v>GUINEE BISSAU</v>
          </cell>
          <cell r="B83">
            <v>3</v>
          </cell>
        </row>
        <row r="84">
          <cell r="A84" t="str">
            <v>GUINEE EQUATORIALE</v>
          </cell>
          <cell r="B84">
            <v>3</v>
          </cell>
        </row>
        <row r="85">
          <cell r="A85" t="str">
            <v>GUYANA</v>
          </cell>
          <cell r="B85">
            <v>3</v>
          </cell>
        </row>
        <row r="86">
          <cell r="A86" t="str">
            <v>HAITI</v>
          </cell>
          <cell r="B86">
            <v>3</v>
          </cell>
        </row>
        <row r="87">
          <cell r="A87" t="str">
            <v>HONDURAS</v>
          </cell>
          <cell r="B87">
            <v>3</v>
          </cell>
        </row>
        <row r="88">
          <cell r="A88" t="str">
            <v>HONG KONG</v>
          </cell>
          <cell r="B88">
            <v>3</v>
          </cell>
        </row>
        <row r="89">
          <cell r="A89" t="str">
            <v>HONGRIE</v>
          </cell>
          <cell r="B89">
            <v>3</v>
          </cell>
        </row>
        <row r="90">
          <cell r="A90" t="str">
            <v>ILES COOK</v>
          </cell>
          <cell r="B90">
            <v>3</v>
          </cell>
        </row>
        <row r="91">
          <cell r="A91" t="str">
            <v>ILES SALOMON</v>
          </cell>
          <cell r="B91">
            <v>3</v>
          </cell>
        </row>
        <row r="92">
          <cell r="A92" t="str">
            <v>INDE</v>
          </cell>
          <cell r="B92">
            <v>3</v>
          </cell>
        </row>
        <row r="93">
          <cell r="A93" t="str">
            <v>INDONESIE</v>
          </cell>
          <cell r="B93">
            <v>3</v>
          </cell>
        </row>
        <row r="94">
          <cell r="A94" t="str">
            <v>IRAK</v>
          </cell>
          <cell r="B94">
            <v>3</v>
          </cell>
        </row>
        <row r="95">
          <cell r="A95" t="str">
            <v>IRAN</v>
          </cell>
          <cell r="B95">
            <v>3</v>
          </cell>
        </row>
        <row r="96">
          <cell r="A96" t="str">
            <v>IRLANDE</v>
          </cell>
          <cell r="B96">
            <v>3</v>
          </cell>
        </row>
        <row r="97">
          <cell r="A97" t="str">
            <v>ISLANDE</v>
          </cell>
          <cell r="B97">
            <v>3</v>
          </cell>
        </row>
        <row r="98">
          <cell r="A98" t="str">
            <v>ISRAEL</v>
          </cell>
          <cell r="B98">
            <v>3</v>
          </cell>
        </row>
        <row r="99">
          <cell r="A99" t="str">
            <v>ITALIE</v>
          </cell>
          <cell r="B99">
            <v>3</v>
          </cell>
        </row>
        <row r="100">
          <cell r="A100" t="str">
            <v>JAMAIQUE</v>
          </cell>
          <cell r="B100">
            <v>3</v>
          </cell>
        </row>
        <row r="101">
          <cell r="A101" t="str">
            <v>JAPON</v>
          </cell>
          <cell r="B101">
            <v>3</v>
          </cell>
        </row>
        <row r="102">
          <cell r="A102" t="str">
            <v>JORDANIE</v>
          </cell>
          <cell r="B102">
            <v>3</v>
          </cell>
        </row>
        <row r="103">
          <cell r="A103" t="str">
            <v>KAZAKHSTAN</v>
          </cell>
          <cell r="B103">
            <v>3</v>
          </cell>
        </row>
        <row r="104">
          <cell r="A104" t="str">
            <v>KENYA</v>
          </cell>
          <cell r="B104">
            <v>3</v>
          </cell>
        </row>
        <row r="105">
          <cell r="A105" t="str">
            <v>KIRGHISTAN</v>
          </cell>
          <cell r="B105">
            <v>3</v>
          </cell>
        </row>
        <row r="106">
          <cell r="A106" t="str">
            <v>KOWEIT</v>
          </cell>
          <cell r="B106">
            <v>3</v>
          </cell>
        </row>
        <row r="107">
          <cell r="A107" t="str">
            <v>LAOS</v>
          </cell>
          <cell r="B107">
            <v>3</v>
          </cell>
        </row>
        <row r="108">
          <cell r="A108" t="str">
            <v>LESOTHO</v>
          </cell>
          <cell r="B108">
            <v>3</v>
          </cell>
        </row>
        <row r="109">
          <cell r="A109" t="str">
            <v>LETTONIE</v>
          </cell>
          <cell r="B109">
            <v>3</v>
          </cell>
        </row>
        <row r="110">
          <cell r="A110" t="str">
            <v>LIBAN</v>
          </cell>
          <cell r="B110">
            <v>3</v>
          </cell>
        </row>
        <row r="111">
          <cell r="A111" t="str">
            <v>LIBERIA</v>
          </cell>
          <cell r="B111">
            <v>3</v>
          </cell>
        </row>
        <row r="112">
          <cell r="A112" t="str">
            <v>LIBYE</v>
          </cell>
          <cell r="B112">
            <v>3</v>
          </cell>
        </row>
        <row r="113">
          <cell r="A113" t="str">
            <v>LITUANIE</v>
          </cell>
          <cell r="B113">
            <v>3</v>
          </cell>
        </row>
        <row r="114">
          <cell r="A114" t="str">
            <v>LUXEMBOURG</v>
          </cell>
          <cell r="B114">
            <v>3</v>
          </cell>
        </row>
        <row r="115">
          <cell r="A115" t="str">
            <v>MACAO</v>
          </cell>
          <cell r="B115">
            <v>3</v>
          </cell>
        </row>
        <row r="116">
          <cell r="A116" t="str">
            <v>MACEDOINE</v>
          </cell>
          <cell r="B116">
            <v>3</v>
          </cell>
        </row>
        <row r="117">
          <cell r="A117" t="str">
            <v>MADAGASCAR</v>
          </cell>
          <cell r="B117">
            <v>3</v>
          </cell>
        </row>
        <row r="118">
          <cell r="A118" t="str">
            <v>MALAISIE</v>
          </cell>
          <cell r="B118">
            <v>3</v>
          </cell>
        </row>
        <row r="119">
          <cell r="A119" t="str">
            <v>MALAWI</v>
          </cell>
          <cell r="B119">
            <v>3</v>
          </cell>
        </row>
        <row r="120">
          <cell r="A120" t="str">
            <v>MALDIVES</v>
          </cell>
          <cell r="B120">
            <v>3</v>
          </cell>
        </row>
        <row r="121">
          <cell r="A121" t="str">
            <v>MALI</v>
          </cell>
          <cell r="B121">
            <v>3</v>
          </cell>
        </row>
        <row r="122">
          <cell r="A122" t="str">
            <v>MALTE</v>
          </cell>
          <cell r="B122">
            <v>3</v>
          </cell>
        </row>
        <row r="123">
          <cell r="A123" t="str">
            <v>MAROC</v>
          </cell>
          <cell r="B123">
            <v>3</v>
          </cell>
        </row>
        <row r="124">
          <cell r="A124" t="str">
            <v>MAURICE</v>
          </cell>
          <cell r="B124">
            <v>3</v>
          </cell>
        </row>
        <row r="125">
          <cell r="A125" t="str">
            <v>MAURITANIE</v>
          </cell>
          <cell r="B125">
            <v>3</v>
          </cell>
        </row>
        <row r="126">
          <cell r="A126" t="str">
            <v>MEXIQUE</v>
          </cell>
          <cell r="B126">
            <v>3</v>
          </cell>
        </row>
        <row r="127">
          <cell r="A127" t="str">
            <v>MOLDAVIE</v>
          </cell>
          <cell r="B127">
            <v>3</v>
          </cell>
        </row>
        <row r="128">
          <cell r="A128" t="str">
            <v>MONGOLIE</v>
          </cell>
          <cell r="B128">
            <v>3</v>
          </cell>
        </row>
        <row r="129">
          <cell r="A129" t="str">
            <v>MOZAMBIQUE</v>
          </cell>
          <cell r="B129">
            <v>3</v>
          </cell>
        </row>
        <row r="130">
          <cell r="A130" t="str">
            <v>MYANMAR (Birmanie)</v>
          </cell>
          <cell r="B130">
            <v>3</v>
          </cell>
        </row>
        <row r="131">
          <cell r="A131" t="str">
            <v>NAMIBIE</v>
          </cell>
          <cell r="B131">
            <v>3</v>
          </cell>
        </row>
        <row r="132">
          <cell r="A132" t="str">
            <v>NEPAL</v>
          </cell>
          <cell r="B132">
            <v>3</v>
          </cell>
        </row>
        <row r="133">
          <cell r="A133" t="str">
            <v>NGWANE (Swaziland)</v>
          </cell>
          <cell r="B133">
            <v>3</v>
          </cell>
        </row>
        <row r="134">
          <cell r="A134" t="str">
            <v>NICARAGUA</v>
          </cell>
          <cell r="B134">
            <v>3</v>
          </cell>
        </row>
        <row r="135">
          <cell r="A135" t="str">
            <v>NIGER</v>
          </cell>
          <cell r="B135">
            <v>3</v>
          </cell>
        </row>
        <row r="136">
          <cell r="A136" t="str">
            <v>NIGERIA</v>
          </cell>
          <cell r="B136">
            <v>3</v>
          </cell>
        </row>
        <row r="137">
          <cell r="A137" t="str">
            <v>NORVEGE</v>
          </cell>
          <cell r="B137">
            <v>3</v>
          </cell>
        </row>
        <row r="138">
          <cell r="A138" t="str">
            <v>NOUVELLE ZELANDE</v>
          </cell>
          <cell r="B138">
            <v>3</v>
          </cell>
        </row>
        <row r="139">
          <cell r="A139" t="str">
            <v>OMAN &amp; MASCATE</v>
          </cell>
          <cell r="B139">
            <v>3</v>
          </cell>
        </row>
        <row r="140">
          <cell r="A140" t="str">
            <v>OUGANDA</v>
          </cell>
          <cell r="B140">
            <v>3</v>
          </cell>
        </row>
        <row r="141">
          <cell r="A141" t="str">
            <v>OUZBEKISTAN</v>
          </cell>
          <cell r="B141">
            <v>3</v>
          </cell>
        </row>
        <row r="142">
          <cell r="A142" t="str">
            <v>PAKISTAN</v>
          </cell>
          <cell r="B142">
            <v>3</v>
          </cell>
        </row>
        <row r="143">
          <cell r="A143" t="str">
            <v>PANAMA</v>
          </cell>
          <cell r="B143">
            <v>3</v>
          </cell>
        </row>
        <row r="144">
          <cell r="A144" t="str">
            <v>PAOUASIE Nlle GUINEE</v>
          </cell>
          <cell r="B144">
            <v>3</v>
          </cell>
        </row>
        <row r="145">
          <cell r="A145" t="str">
            <v>PARAGUAY</v>
          </cell>
          <cell r="B145">
            <v>3</v>
          </cell>
        </row>
        <row r="146">
          <cell r="A146" t="str">
            <v>PAYS BAS</v>
          </cell>
          <cell r="B146">
            <v>3</v>
          </cell>
        </row>
        <row r="147">
          <cell r="A147" t="str">
            <v>PEROU</v>
          </cell>
          <cell r="B147">
            <v>3</v>
          </cell>
        </row>
        <row r="148">
          <cell r="A148" t="str">
            <v>PHILIPPINES</v>
          </cell>
          <cell r="B148">
            <v>3</v>
          </cell>
        </row>
        <row r="149">
          <cell r="A149" t="str">
            <v>POLOGNE</v>
          </cell>
          <cell r="B149">
            <v>3</v>
          </cell>
        </row>
        <row r="150">
          <cell r="A150" t="str">
            <v>PORTUGAL</v>
          </cell>
          <cell r="B150">
            <v>3</v>
          </cell>
        </row>
        <row r="151">
          <cell r="A151" t="str">
            <v>QATAR</v>
          </cell>
          <cell r="B151">
            <v>3</v>
          </cell>
        </row>
        <row r="152">
          <cell r="A152" t="str">
            <v>REP. DOMINICAINE</v>
          </cell>
          <cell r="B152">
            <v>3</v>
          </cell>
        </row>
        <row r="153">
          <cell r="A153" t="str">
            <v>RAS EL KHEIMAN</v>
          </cell>
          <cell r="B153">
            <v>3</v>
          </cell>
        </row>
        <row r="154">
          <cell r="A154" t="str">
            <v>REP. TCHEQUE</v>
          </cell>
          <cell r="B154">
            <v>2</v>
          </cell>
        </row>
        <row r="155">
          <cell r="A155" t="str">
            <v>ROUMANIE</v>
          </cell>
          <cell r="B155">
            <v>5</v>
          </cell>
        </row>
        <row r="156">
          <cell r="A156" t="str">
            <v>ROYAUME UNI</v>
          </cell>
          <cell r="B156">
            <v>1</v>
          </cell>
        </row>
        <row r="157">
          <cell r="A157" t="str">
            <v>RUSSIE</v>
          </cell>
          <cell r="B157">
            <v>4</v>
          </cell>
        </row>
        <row r="158">
          <cell r="A158" t="str">
            <v>RWANDA</v>
          </cell>
          <cell r="B158">
            <v>7</v>
          </cell>
        </row>
        <row r="159">
          <cell r="A159" t="str">
            <v>St KITTS &amp; NEVIS</v>
          </cell>
          <cell r="B159">
            <v>6</v>
          </cell>
        </row>
        <row r="160">
          <cell r="A160" t="str">
            <v>SALVADOR</v>
          </cell>
          <cell r="B160">
            <v>4</v>
          </cell>
        </row>
        <row r="161">
          <cell r="A161" t="str">
            <v>SAO TOME</v>
          </cell>
          <cell r="B161">
            <v>7</v>
          </cell>
        </row>
        <row r="162">
          <cell r="A162" t="str">
            <v>SENEGAL</v>
          </cell>
          <cell r="B162">
            <v>6</v>
          </cell>
        </row>
        <row r="163">
          <cell r="A163" t="str">
            <v>SEYCHELLES</v>
          </cell>
          <cell r="B163">
            <v>7</v>
          </cell>
        </row>
        <row r="164">
          <cell r="A164" t="str">
            <v>SHARJAH</v>
          </cell>
          <cell r="B164">
            <v>4</v>
          </cell>
        </row>
        <row r="165">
          <cell r="A165" t="str">
            <v>SIERRA LEONE</v>
          </cell>
          <cell r="B165">
            <v>7</v>
          </cell>
        </row>
        <row r="166">
          <cell r="A166" t="str">
            <v>SINGAPOUR</v>
          </cell>
          <cell r="B166">
            <v>1</v>
          </cell>
        </row>
        <row r="167">
          <cell r="A167" t="str">
            <v>SLOVAQUIE</v>
          </cell>
          <cell r="B167">
            <v>3</v>
          </cell>
        </row>
        <row r="168">
          <cell r="A168" t="str">
            <v>SLOVENIE</v>
          </cell>
          <cell r="B168">
            <v>2</v>
          </cell>
        </row>
        <row r="169">
          <cell r="A169" t="str">
            <v>SOMALIE</v>
          </cell>
          <cell r="B169">
            <v>7</v>
          </cell>
        </row>
        <row r="170">
          <cell r="A170" t="str">
            <v>SOUDAN</v>
          </cell>
          <cell r="B170">
            <v>7</v>
          </cell>
        </row>
        <row r="171">
          <cell r="A171" t="str">
            <v>SRI LANKA</v>
          </cell>
          <cell r="B171">
            <v>5</v>
          </cell>
        </row>
        <row r="172">
          <cell r="A172" t="str">
            <v>SUEDE</v>
          </cell>
          <cell r="B172">
            <v>1</v>
          </cell>
        </row>
        <row r="173">
          <cell r="A173" t="str">
            <v>SUISSE</v>
          </cell>
          <cell r="B173">
            <v>1</v>
          </cell>
        </row>
        <row r="174">
          <cell r="A174" t="str">
            <v>SURINAM</v>
          </cell>
          <cell r="B174">
            <v>7</v>
          </cell>
        </row>
        <row r="175">
          <cell r="A175" t="str">
            <v>SYRIE</v>
          </cell>
          <cell r="B175">
            <v>7</v>
          </cell>
        </row>
        <row r="176">
          <cell r="A176" t="str">
            <v>TADJIKISTAN</v>
          </cell>
          <cell r="B176">
            <v>7</v>
          </cell>
        </row>
        <row r="177">
          <cell r="A177" t="str">
            <v>TAIWAN</v>
          </cell>
          <cell r="B177">
            <v>1</v>
          </cell>
        </row>
        <row r="178">
          <cell r="A178" t="str">
            <v>TANZANIE</v>
          </cell>
          <cell r="B178">
            <v>7</v>
          </cell>
        </row>
        <row r="179">
          <cell r="A179" t="str">
            <v>TCHAD</v>
          </cell>
          <cell r="B179">
            <v>7</v>
          </cell>
        </row>
        <row r="180">
          <cell r="A180" t="str">
            <v>TERRITOIRES PALESTINIENS</v>
          </cell>
          <cell r="B180">
            <v>3</v>
          </cell>
        </row>
        <row r="181">
          <cell r="A181" t="str">
            <v>THAILANDE</v>
          </cell>
          <cell r="B181">
            <v>3</v>
          </cell>
        </row>
        <row r="182">
          <cell r="A182" t="str">
            <v>TOGO</v>
          </cell>
          <cell r="B182">
            <v>7</v>
          </cell>
        </row>
        <row r="183">
          <cell r="A183" t="str">
            <v>TRINITE TOBAGO</v>
          </cell>
          <cell r="B183">
            <v>2</v>
          </cell>
        </row>
        <row r="184">
          <cell r="A184" t="str">
            <v>TUNISIE</v>
          </cell>
          <cell r="B184">
            <v>3</v>
          </cell>
        </row>
        <row r="185">
          <cell r="A185" t="str">
            <v>TURKMESNISTAN</v>
          </cell>
          <cell r="B185">
            <v>7</v>
          </cell>
        </row>
        <row r="186">
          <cell r="A186" t="str">
            <v>TURQUIE</v>
          </cell>
          <cell r="B186">
            <v>6</v>
          </cell>
        </row>
        <row r="187">
          <cell r="A187" t="str">
            <v>UKRAINE</v>
          </cell>
          <cell r="B187">
            <v>7</v>
          </cell>
        </row>
        <row r="188">
          <cell r="A188" t="str">
            <v>UM AK QUAIWAN</v>
          </cell>
          <cell r="B188">
            <v>4</v>
          </cell>
        </row>
        <row r="189">
          <cell r="A189" t="str">
            <v>URUGUAY</v>
          </cell>
          <cell r="B189">
            <v>6</v>
          </cell>
        </row>
        <row r="190">
          <cell r="A190" t="str">
            <v>VANUATU</v>
          </cell>
          <cell r="B190">
            <v>7</v>
          </cell>
        </row>
        <row r="191">
          <cell r="A191" t="str">
            <v>VENEZUELA</v>
          </cell>
          <cell r="B191">
            <v>7</v>
          </cell>
        </row>
        <row r="192">
          <cell r="A192" t="str">
            <v>VIET NAM</v>
          </cell>
          <cell r="B192">
            <v>5</v>
          </cell>
        </row>
        <row r="193">
          <cell r="A193" t="str">
            <v>YEMEN</v>
          </cell>
          <cell r="B193">
            <v>6</v>
          </cell>
        </row>
        <row r="194">
          <cell r="A194" t="str">
            <v>ZAIRE (Rep Dem du Congo)</v>
          </cell>
          <cell r="B194">
            <v>7</v>
          </cell>
        </row>
        <row r="195">
          <cell r="A195" t="str">
            <v>ZAMBIE</v>
          </cell>
          <cell r="B195">
            <v>7</v>
          </cell>
        </row>
        <row r="196">
          <cell r="A196" t="str">
            <v>ZIMBABWE</v>
          </cell>
          <cell r="B196">
            <v>7</v>
          </cell>
        </row>
      </sheetData>
      <sheetData sheetId="7"/>
      <sheetData sheetId="8"/>
      <sheetData sheetId="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Data"/>
      <sheetName val="Summary"/>
      <sheetName val="NTB"/>
      <sheetName val="TBA"/>
      <sheetName val="Rev"/>
      <sheetName val="Funding"/>
      <sheetName val="Fin"/>
      <sheetName val="Real Fin"/>
      <sheetName val="Tax"/>
      <sheetName val="Reserves"/>
      <sheetName val="Ratios"/>
      <sheetName val="Graphs"/>
      <sheetName val="1"/>
      <sheetName val="2"/>
      <sheetName val="3"/>
      <sheetName val="4"/>
      <sheetName val="Econ"/>
      <sheetName val="Checks"/>
      <sheetName val="Appendix 1"/>
      <sheetName val="Appendix 2"/>
      <sheetName val="Appendix 4"/>
      <sheetName val="Appendix 5"/>
      <sheetName val="Appendix 6"/>
      <sheetName val="Appendix 7"/>
    </sheetNames>
    <sheetDataSet>
      <sheetData sheetId="0" refreshError="1"/>
      <sheetData sheetId="1"/>
      <sheetData sheetId="2" refreshError="1"/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utput"/>
      <sheetName val="Resumo"/>
      <sheetName val="Dados"/>
      <sheetName val="Income Statement"/>
      <sheetName val="Cash Flow"/>
      <sheetName val="ICSD"/>
      <sheetName val="Lotes"/>
      <sheetName val="Cronograma Mensal"/>
      <sheetName val="Cronograma Anual"/>
      <sheetName val="U&amp;F Mensal"/>
      <sheetName val="U&amp;F Anual"/>
      <sheetName val="Indexes"/>
      <sheetName val="Receita"/>
      <sheetName val="O&amp;M"/>
      <sheetName val="Ativos"/>
      <sheetName val="Financiamento"/>
      <sheetName val="Impostos"/>
      <sheetName val="Dividendos"/>
      <sheetName val="Balance Sheet"/>
      <sheetName val="TIR &amp; NPV"/>
      <sheetName val="Margens"/>
      <sheetName val="Charts"/>
      <sheetName val="AUX"/>
      <sheetName val="Acomp."/>
      <sheetName val="Duvidas"/>
      <sheetName val="MLA Auxiliar"/>
    </sheetNames>
    <sheetDataSet>
      <sheetData sheetId="0" refreshError="1"/>
      <sheetData sheetId="1" refreshError="1"/>
      <sheetData sheetId="2" refreshError="1">
        <row r="19">
          <cell r="D19">
            <v>38718</v>
          </cell>
        </row>
        <row r="22">
          <cell r="D22">
            <v>38899</v>
          </cell>
        </row>
        <row r="25">
          <cell r="D25">
            <v>47818</v>
          </cell>
        </row>
        <row r="48">
          <cell r="I48">
            <v>1</v>
          </cell>
        </row>
      </sheetData>
      <sheetData sheetId="3"/>
      <sheetData sheetId="4"/>
      <sheetData sheetId="5" refreshError="1"/>
      <sheetData sheetId="6"/>
      <sheetData sheetId="7" refreshError="1"/>
      <sheetData sheetId="8" refreshError="1"/>
      <sheetData sheetId="9"/>
      <sheetData sheetId="10"/>
      <sheetData sheetId="1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ualifications"/>
      <sheetName val="Individual Contingencies"/>
      <sheetName val="OFF+ON_EqEUR"/>
      <sheetName val="Offshore_EUR"/>
      <sheetName val="Onshore_NIS"/>
      <sheetName val="ON_EqEUR"/>
      <sheetName val="depot_OFF+ON_EqEUR"/>
      <sheetName val="depot_Offshore_EUR "/>
      <sheetName val="depot_Onshore_NIS "/>
      <sheetName val="depot_ON_EqEUR "/>
      <sheetName val="Indiv. Conteng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8">
          <cell r="M8">
            <v>0.25747999999999999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ef"/>
      <sheetName val="HV"/>
      <sheetName val="Traction Eqt"/>
      <sheetName val="LV Eqt"/>
      <sheetName val="3ième rail"/>
      <sheetName val="Ventilation"/>
      <sheetName val="Total"/>
      <sheetName val="Pourinfo-Planning-Almaty"/>
      <sheetName val="Planning-thématique-métroKazan"/>
      <sheetName val="Planning-parlot-métroKazan"/>
      <sheetName val="organisation-dequoi"/>
      <sheetName val="supervision"/>
      <sheetName val="PU 3ième rail"/>
      <sheetName val="Donné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Assumptions"/>
      <sheetName val="Indexes"/>
      <sheetName val="Construction Budget"/>
      <sheetName val="Investments"/>
      <sheetName val="Revenues"/>
      <sheetName val="O&amp;M"/>
      <sheetName val="Sources"/>
      <sheetName val="Financing"/>
      <sheetName val="Uses &amp; Depreciation"/>
      <sheetName val="Sources and Uses"/>
      <sheetName val="New Loans"/>
      <sheetName val="Taxes"/>
      <sheetName val="Dividends"/>
      <sheetName val="Income Statement"/>
      <sheetName val="Cash Flow"/>
      <sheetName val="Balance Sheet"/>
      <sheetName val="TIR&amp;NPV"/>
      <sheetName val="Circularity"/>
    </sheetNames>
    <sheetDataSet>
      <sheetData sheetId="0"/>
      <sheetData sheetId="1" refreshError="1">
        <row r="30">
          <cell r="B30">
            <v>38899</v>
          </cell>
        </row>
      </sheetData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"/>
    </sheetNames>
    <sheetDataSet>
      <sheetData sheetId="0">
        <row r="3">
          <cell r="B3" t="str">
            <v>Lote</v>
          </cell>
          <cell r="J3" t="str">
            <v>Lote</v>
          </cell>
        </row>
        <row r="39">
          <cell r="B39">
            <v>1997</v>
          </cell>
        </row>
        <row r="40">
          <cell r="B40" t="str">
            <v>dom</v>
          </cell>
        </row>
        <row r="41">
          <cell r="B41" t="str">
            <v>seg</v>
          </cell>
        </row>
        <row r="42">
          <cell r="B42" t="str">
            <v>ter</v>
          </cell>
        </row>
        <row r="43">
          <cell r="B43" t="str">
            <v>qua</v>
          </cell>
        </row>
        <row r="44">
          <cell r="B44" t="str">
            <v>qui</v>
          </cell>
        </row>
        <row r="45">
          <cell r="B45" t="str">
            <v>sex</v>
          </cell>
        </row>
        <row r="46">
          <cell r="B46" t="str">
            <v>sáb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25"/>
  <sheetViews>
    <sheetView zoomScale="130" zoomScaleNormal="130" workbookViewId="0">
      <selection activeCell="H26" sqref="H26"/>
    </sheetView>
  </sheetViews>
  <sheetFormatPr defaultColWidth="8.85546875" defaultRowHeight="12.75"/>
  <cols>
    <col min="1" max="1" width="11.5703125" style="3" customWidth="1"/>
    <col min="2" max="2" width="12.5703125" style="3" customWidth="1"/>
    <col min="3" max="3" width="11.5703125" style="3" customWidth="1"/>
    <col min="4" max="4" width="11" style="3" bestFit="1" customWidth="1"/>
    <col min="5" max="5" width="13.140625" style="3" bestFit="1" customWidth="1"/>
    <col min="6" max="6" width="14.28515625" style="3" customWidth="1"/>
    <col min="7" max="7" width="17.5703125" style="3" bestFit="1" customWidth="1"/>
    <col min="8" max="8" width="14.28515625" style="3" bestFit="1" customWidth="1"/>
    <col min="9" max="9" width="13.42578125" style="3" customWidth="1"/>
    <col min="10" max="10" width="12.7109375" style="3" customWidth="1"/>
    <col min="11" max="11" width="9" style="3" bestFit="1" customWidth="1"/>
    <col min="12" max="16384" width="8.85546875" style="3"/>
  </cols>
  <sheetData>
    <row r="3" spans="1:8" ht="25.5">
      <c r="A3" s="69" t="s">
        <v>209</v>
      </c>
      <c r="B3" s="69" t="s">
        <v>205</v>
      </c>
      <c r="C3" s="69" t="s">
        <v>207</v>
      </c>
      <c r="D3" s="69" t="s">
        <v>217</v>
      </c>
      <c r="E3" s="69" t="s">
        <v>206</v>
      </c>
      <c r="F3" s="69" t="s">
        <v>243</v>
      </c>
      <c r="G3" s="69" t="s">
        <v>208</v>
      </c>
      <c r="H3" s="69" t="s">
        <v>235</v>
      </c>
    </row>
    <row r="4" spans="1:8">
      <c r="A4" s="7">
        <v>44470</v>
      </c>
      <c r="B4" s="81">
        <f>78877+143106</f>
        <v>221983</v>
      </c>
      <c r="C4" s="81">
        <f>1699+4314</f>
        <v>6013</v>
      </c>
      <c r="D4" s="81">
        <f>3937+10402</f>
        <v>14339</v>
      </c>
      <c r="E4" s="81">
        <f>9894+17016</f>
        <v>26910</v>
      </c>
      <c r="F4" s="81">
        <f>15394+28535</f>
        <v>43929</v>
      </c>
      <c r="G4" s="81">
        <f t="shared" ref="G4:G16" si="0">SUM(B4:F4)</f>
        <v>313174</v>
      </c>
      <c r="H4" s="78">
        <f t="shared" ref="H4:H16" si="1">(B4*1)+(C4*0.5)+(D4*0.5)</f>
        <v>232159</v>
      </c>
    </row>
    <row r="5" spans="1:8">
      <c r="A5" s="7">
        <v>44501</v>
      </c>
      <c r="B5" s="81">
        <v>238498</v>
      </c>
      <c r="C5" s="81">
        <v>8354</v>
      </c>
      <c r="D5" s="81">
        <v>26236</v>
      </c>
      <c r="E5" s="81">
        <v>28261</v>
      </c>
      <c r="F5" s="81">
        <v>47012</v>
      </c>
      <c r="G5" s="81">
        <f t="shared" si="0"/>
        <v>348361</v>
      </c>
      <c r="H5" s="78">
        <f t="shared" si="1"/>
        <v>255793</v>
      </c>
    </row>
    <row r="6" spans="1:8">
      <c r="A6" s="7">
        <v>44531</v>
      </c>
      <c r="B6" s="81">
        <v>281691</v>
      </c>
      <c r="C6" s="81">
        <v>4252</v>
      </c>
      <c r="D6" s="81">
        <v>12802</v>
      </c>
      <c r="E6" s="81">
        <v>30272</v>
      </c>
      <c r="F6" s="81">
        <v>52065</v>
      </c>
      <c r="G6" s="81">
        <f t="shared" si="0"/>
        <v>381082</v>
      </c>
      <c r="H6" s="78">
        <f t="shared" si="1"/>
        <v>290218</v>
      </c>
    </row>
    <row r="7" spans="1:8">
      <c r="A7" s="7">
        <v>44562</v>
      </c>
      <c r="B7" s="81">
        <v>296001</v>
      </c>
      <c r="C7" s="81">
        <v>1299</v>
      </c>
      <c r="D7" s="81">
        <v>0</v>
      </c>
      <c r="E7" s="81">
        <v>32045</v>
      </c>
      <c r="F7" s="81">
        <v>57437</v>
      </c>
      <c r="G7" s="81">
        <f t="shared" si="0"/>
        <v>386782</v>
      </c>
      <c r="H7" s="78">
        <f t="shared" si="1"/>
        <v>296650.5</v>
      </c>
    </row>
    <row r="8" spans="1:8">
      <c r="A8" s="7">
        <v>44593</v>
      </c>
      <c r="B8" s="81">
        <v>231673</v>
      </c>
      <c r="C8" s="81">
        <v>6534</v>
      </c>
      <c r="D8" s="81">
        <v>21903</v>
      </c>
      <c r="E8" s="81">
        <v>35163</v>
      </c>
      <c r="F8" s="81">
        <v>47077</v>
      </c>
      <c r="G8" s="81">
        <f t="shared" si="0"/>
        <v>342350</v>
      </c>
      <c r="H8" s="78">
        <f t="shared" si="1"/>
        <v>245891.5</v>
      </c>
    </row>
    <row r="9" spans="1:8">
      <c r="A9" s="7">
        <v>44621</v>
      </c>
      <c r="B9" s="81">
        <v>283714</v>
      </c>
      <c r="C9" s="81">
        <v>10452</v>
      </c>
      <c r="D9" s="81">
        <v>44916</v>
      </c>
      <c r="E9" s="81">
        <v>48118</v>
      </c>
      <c r="F9" s="81">
        <v>56270</v>
      </c>
      <c r="G9" s="81">
        <f t="shared" si="0"/>
        <v>443470</v>
      </c>
      <c r="H9" s="78">
        <f t="shared" si="1"/>
        <v>311398</v>
      </c>
    </row>
    <row r="10" spans="1:8">
      <c r="A10" s="7">
        <v>44652</v>
      </c>
      <c r="B10" s="81">
        <v>222566</v>
      </c>
      <c r="C10" s="81">
        <v>8075</v>
      </c>
      <c r="D10" s="81">
        <v>27971</v>
      </c>
      <c r="E10" s="81">
        <v>34513</v>
      </c>
      <c r="F10" s="81">
        <v>43500</v>
      </c>
      <c r="G10" s="81">
        <f t="shared" si="0"/>
        <v>336625</v>
      </c>
      <c r="H10" s="78">
        <f t="shared" si="1"/>
        <v>240589</v>
      </c>
    </row>
    <row r="11" spans="1:8">
      <c r="A11" s="7">
        <v>44682</v>
      </c>
      <c r="B11" s="81">
        <f>119195+119918</f>
        <v>239113</v>
      </c>
      <c r="C11" s="81">
        <f>5915+5975</f>
        <v>11890</v>
      </c>
      <c r="D11" s="81">
        <f>22931+23715</f>
        <v>46646</v>
      </c>
      <c r="E11" s="81">
        <f>19417+18550</f>
        <v>37967</v>
      </c>
      <c r="F11" s="81">
        <f>22898+24014</f>
        <v>46912</v>
      </c>
      <c r="G11" s="81">
        <f t="shared" si="0"/>
        <v>382528</v>
      </c>
      <c r="H11" s="78">
        <f t="shared" si="1"/>
        <v>268381</v>
      </c>
    </row>
    <row r="12" spans="1:8">
      <c r="A12" s="7">
        <v>44713</v>
      </c>
      <c r="B12" s="81">
        <v>223375</v>
      </c>
      <c r="C12" s="81">
        <v>10282</v>
      </c>
      <c r="D12" s="81">
        <v>42900</v>
      </c>
      <c r="E12" s="81">
        <v>32818</v>
      </c>
      <c r="F12" s="81">
        <v>46073</v>
      </c>
      <c r="G12" s="81">
        <f t="shared" si="0"/>
        <v>355448</v>
      </c>
      <c r="H12" s="78">
        <f t="shared" si="1"/>
        <v>249966</v>
      </c>
    </row>
    <row r="13" spans="1:8">
      <c r="A13" s="7">
        <v>44743</v>
      </c>
      <c r="B13" s="81">
        <v>247690</v>
      </c>
      <c r="C13" s="81">
        <v>5716</v>
      </c>
      <c r="D13" s="81">
        <v>22630</v>
      </c>
      <c r="E13" s="81">
        <v>38140</v>
      </c>
      <c r="F13" s="81">
        <v>50746</v>
      </c>
      <c r="G13" s="81">
        <f t="shared" si="0"/>
        <v>364922</v>
      </c>
      <c r="H13" s="78">
        <f t="shared" si="1"/>
        <v>261863</v>
      </c>
    </row>
    <row r="14" spans="1:8">
      <c r="A14" s="7">
        <v>44774</v>
      </c>
      <c r="B14" s="81">
        <v>243397</v>
      </c>
      <c r="C14" s="81">
        <v>13312</v>
      </c>
      <c r="D14" s="81">
        <v>53534</v>
      </c>
      <c r="E14" s="81">
        <v>39819</v>
      </c>
      <c r="F14" s="81">
        <v>48797</v>
      </c>
      <c r="G14" s="81">
        <f t="shared" si="0"/>
        <v>398859</v>
      </c>
      <c r="H14" s="78">
        <f t="shared" si="1"/>
        <v>276820</v>
      </c>
    </row>
    <row r="15" spans="1:8">
      <c r="A15" s="7">
        <v>44805</v>
      </c>
      <c r="B15" s="81">
        <v>233129</v>
      </c>
      <c r="C15" s="81">
        <v>12440</v>
      </c>
      <c r="D15" s="81">
        <v>49357</v>
      </c>
      <c r="E15" s="81">
        <v>38539</v>
      </c>
      <c r="F15" s="81">
        <v>48357</v>
      </c>
      <c r="G15" s="81">
        <f t="shared" si="0"/>
        <v>381822</v>
      </c>
      <c r="H15" s="78">
        <f t="shared" si="1"/>
        <v>264027.5</v>
      </c>
    </row>
    <row r="16" spans="1:8">
      <c r="A16" s="8" t="s">
        <v>13</v>
      </c>
      <c r="B16" s="82">
        <f>SUM(B4:B15)</f>
        <v>2962830</v>
      </c>
      <c r="C16" s="82">
        <f t="shared" ref="C16:F16" si="2">SUM(C4:C15)</f>
        <v>98619</v>
      </c>
      <c r="D16" s="82">
        <f t="shared" si="2"/>
        <v>363234</v>
      </c>
      <c r="E16" s="82">
        <f t="shared" si="2"/>
        <v>422565</v>
      </c>
      <c r="F16" s="82">
        <f t="shared" si="2"/>
        <v>588175</v>
      </c>
      <c r="G16" s="81">
        <f t="shared" si="0"/>
        <v>4435423</v>
      </c>
      <c r="H16" s="78">
        <f t="shared" si="1"/>
        <v>3193756.5</v>
      </c>
    </row>
    <row r="17" spans="1:8">
      <c r="A17" s="8" t="s">
        <v>167</v>
      </c>
      <c r="B17" s="82">
        <f>B16</f>
        <v>2962830</v>
      </c>
      <c r="C17" s="82">
        <f>C16/2</f>
        <v>49309.5</v>
      </c>
      <c r="D17" s="82">
        <f>D16/2</f>
        <v>181617</v>
      </c>
      <c r="E17" s="82">
        <v>0</v>
      </c>
      <c r="F17" s="82">
        <v>0</v>
      </c>
      <c r="G17" s="82">
        <v>0</v>
      </c>
      <c r="H17" s="82">
        <f>SUM(B17:F17)</f>
        <v>3193756.5</v>
      </c>
    </row>
    <row r="18" spans="1:8">
      <c r="C18" s="9"/>
      <c r="D18" s="9"/>
      <c r="G18" s="9">
        <f>G16/12</f>
        <v>369618.58333333331</v>
      </c>
      <c r="H18" s="9">
        <f>H16/12</f>
        <v>266146.375</v>
      </c>
    </row>
    <row r="19" spans="1:8">
      <c r="A19" s="403" t="s">
        <v>285</v>
      </c>
      <c r="B19" s="404"/>
      <c r="C19" s="98">
        <v>4.5</v>
      </c>
      <c r="F19" s="71"/>
      <c r="G19" s="9"/>
      <c r="H19" s="9"/>
    </row>
    <row r="20" spans="1:8">
      <c r="C20" s="9"/>
      <c r="G20" s="9"/>
    </row>
    <row r="21" spans="1:8">
      <c r="B21" s="9" t="s">
        <v>330</v>
      </c>
      <c r="C21" s="9" t="s">
        <v>331</v>
      </c>
      <c r="D21" s="9" t="s">
        <v>332</v>
      </c>
      <c r="E21" s="9" t="s">
        <v>333</v>
      </c>
      <c r="F21" s="9"/>
      <c r="G21" s="9"/>
    </row>
    <row r="22" spans="1:8">
      <c r="B22" s="9">
        <f>B16*(1-33%)</f>
        <v>1985096.0999999999</v>
      </c>
      <c r="C22" s="9">
        <f>B16-B22</f>
        <v>977733.90000000014</v>
      </c>
      <c r="D22" s="9">
        <f>C16</f>
        <v>98619</v>
      </c>
      <c r="E22" s="9">
        <f>D16</f>
        <v>363234</v>
      </c>
    </row>
    <row r="23" spans="1:8">
      <c r="A23" s="3" t="s">
        <v>334</v>
      </c>
      <c r="B23" s="3">
        <v>4.5</v>
      </c>
      <c r="C23" s="3">
        <v>5</v>
      </c>
      <c r="D23" s="3">
        <f>4.5/2</f>
        <v>2.25</v>
      </c>
      <c r="E23" s="3">
        <f>4.5/2</f>
        <v>2.25</v>
      </c>
    </row>
    <row r="24" spans="1:8">
      <c r="A24" s="3" t="s">
        <v>335</v>
      </c>
      <c r="B24" s="9">
        <f>SUMPRODUCT(B22:E22,B23:E23)</f>
        <v>14860771.199999999</v>
      </c>
      <c r="C24" s="401">
        <f>B24/'CALCULO DO SUBSIDIO'!E6</f>
        <v>0.99999999999999989</v>
      </c>
    </row>
    <row r="25" spans="1:8">
      <c r="B25" s="67"/>
      <c r="D25" s="9"/>
      <c r="F25" s="9"/>
    </row>
  </sheetData>
  <sheetProtection algorithmName="SHA-512" hashValue="X5fxGDJOmhXVIpt9bX1qQJTroPb5y7bhQuknjk8aF4XXuzzDs6LjU/tE1aXW9aArC2AgwV5G202djvrXs5LJtg==" saltValue="d0Q1a6SddbDSvgfajSyQmQ==" spinCount="100000" sheet="1" objects="1" scenarios="1" selectLockedCells="1" selectUnlockedCells="1"/>
  <mergeCells count="1">
    <mergeCell ref="A19:B19"/>
  </mergeCells>
  <phoneticPr fontId="120" type="noConversion"/>
  <pageMargins left="0.511811024" right="0.511811024" top="0.78740157499999996" bottom="0.78740157499999996" header="0.31496062000000002" footer="0.31496062000000002"/>
  <pageSetup paperSize="9" orientation="portrait" verticalDpi="0" r:id="rId1"/>
  <ignoredErrors>
    <ignoredError sqref="G4 G5:G15" formulaRange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6">
    <tabColor theme="9" tint="-0.249977111117893"/>
  </sheetPr>
  <dimension ref="A1:S34"/>
  <sheetViews>
    <sheetView showGridLines="0" topLeftCell="A16" zoomScaleNormal="70" workbookViewId="0">
      <selection activeCell="A28" sqref="A28:R28"/>
    </sheetView>
  </sheetViews>
  <sheetFormatPr defaultColWidth="7.140625" defaultRowHeight="12.75"/>
  <cols>
    <col min="1" max="1" width="9.28515625" style="13" bestFit="1" customWidth="1"/>
    <col min="2" max="2" width="11.140625" style="13" customWidth="1"/>
    <col min="3" max="18" width="6.85546875" style="13" customWidth="1"/>
    <col min="19" max="19" width="7.140625" style="13" customWidth="1"/>
    <col min="20" max="16384" width="7.140625" style="13"/>
  </cols>
  <sheetData>
    <row r="1" spans="1:19" s="3" customFormat="1" ht="18" customHeight="1">
      <c r="A1" s="2"/>
      <c r="B1" s="420" t="e">
        <f>'Q2.Dados Operacionais'!#REF!</f>
        <v>#REF!</v>
      </c>
      <c r="C1" s="420"/>
      <c r="D1" s="420"/>
      <c r="E1" s="420"/>
      <c r="F1" s="420"/>
      <c r="G1" s="420"/>
      <c r="H1" s="420"/>
      <c r="I1" s="420"/>
      <c r="J1" s="420"/>
      <c r="K1" s="420"/>
      <c r="L1" s="420"/>
      <c r="M1" s="420"/>
      <c r="N1" s="420"/>
      <c r="O1" s="420"/>
      <c r="P1" s="420"/>
      <c r="Q1" s="420"/>
      <c r="R1" s="420"/>
    </row>
    <row r="2" spans="1:19" ht="12.75" customHeight="1">
      <c r="B2" s="421" t="s">
        <v>21</v>
      </c>
      <c r="C2" s="419" t="s">
        <v>187</v>
      </c>
      <c r="D2" s="419"/>
      <c r="E2" s="419"/>
      <c r="F2" s="419"/>
      <c r="G2" s="419"/>
      <c r="H2" s="419"/>
      <c r="I2" s="419"/>
      <c r="J2" s="419"/>
      <c r="K2" s="419"/>
      <c r="L2" s="419"/>
      <c r="M2" s="419"/>
      <c r="N2" s="419"/>
      <c r="O2" s="419"/>
      <c r="P2" s="419"/>
      <c r="Q2" s="419"/>
      <c r="R2" s="419"/>
    </row>
    <row r="3" spans="1:19">
      <c r="B3" s="421"/>
      <c r="C3" s="4" t="s">
        <v>1</v>
      </c>
      <c r="D3" s="4" t="s">
        <v>2</v>
      </c>
      <c r="E3" s="4" t="s">
        <v>3</v>
      </c>
      <c r="F3" s="4" t="s">
        <v>4</v>
      </c>
      <c r="G3" s="4" t="s">
        <v>5</v>
      </c>
      <c r="H3" s="4" t="s">
        <v>14</v>
      </c>
      <c r="I3" s="4" t="s">
        <v>15</v>
      </c>
      <c r="J3" s="4" t="s">
        <v>16</v>
      </c>
      <c r="K3" s="4" t="s">
        <v>17</v>
      </c>
      <c r="L3" s="4" t="s">
        <v>18</v>
      </c>
      <c r="M3" s="4" t="s">
        <v>56</v>
      </c>
      <c r="N3" s="4" t="s">
        <v>57</v>
      </c>
      <c r="O3" s="4" t="s">
        <v>58</v>
      </c>
      <c r="P3" s="4" t="s">
        <v>59</v>
      </c>
      <c r="Q3" s="4" t="s">
        <v>60</v>
      </c>
      <c r="R3" s="4" t="s">
        <v>51</v>
      </c>
    </row>
    <row r="4" spans="1:19">
      <c r="B4" s="33">
        <v>0</v>
      </c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</row>
    <row r="5" spans="1:19">
      <c r="B5" s="33">
        <v>1</v>
      </c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28"/>
    </row>
    <row r="6" spans="1:19">
      <c r="B6" s="33">
        <v>2</v>
      </c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</row>
    <row r="7" spans="1:19">
      <c r="B7" s="33">
        <v>3</v>
      </c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</row>
    <row r="8" spans="1:19">
      <c r="B8" s="33">
        <v>4</v>
      </c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</row>
    <row r="9" spans="1:19">
      <c r="B9" s="4">
        <v>5</v>
      </c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</row>
    <row r="10" spans="1:19">
      <c r="B10" s="4">
        <v>6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</row>
    <row r="11" spans="1:19">
      <c r="B11" s="4">
        <v>7</v>
      </c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</row>
    <row r="12" spans="1:19">
      <c r="B12" s="33" t="s">
        <v>12</v>
      </c>
      <c r="C12" s="17">
        <f>SUM(C4:C11)</f>
        <v>0</v>
      </c>
      <c r="D12" s="17">
        <f t="shared" ref="D12:R12" si="0">SUM(D4:D11)</f>
        <v>0</v>
      </c>
      <c r="E12" s="17">
        <f t="shared" si="0"/>
        <v>0</v>
      </c>
      <c r="F12" s="17">
        <f t="shared" si="0"/>
        <v>0</v>
      </c>
      <c r="G12" s="17">
        <f t="shared" si="0"/>
        <v>0</v>
      </c>
      <c r="H12" s="17">
        <f t="shared" si="0"/>
        <v>0</v>
      </c>
      <c r="I12" s="17">
        <f t="shared" si="0"/>
        <v>0</v>
      </c>
      <c r="J12" s="17">
        <f t="shared" si="0"/>
        <v>0</v>
      </c>
      <c r="K12" s="17">
        <f t="shared" si="0"/>
        <v>0</v>
      </c>
      <c r="L12" s="17">
        <f t="shared" si="0"/>
        <v>0</v>
      </c>
      <c r="M12" s="17">
        <f t="shared" si="0"/>
        <v>0</v>
      </c>
      <c r="N12" s="17">
        <f t="shared" si="0"/>
        <v>0</v>
      </c>
      <c r="O12" s="17">
        <f t="shared" si="0"/>
        <v>0</v>
      </c>
      <c r="P12" s="17">
        <f t="shared" si="0"/>
        <v>0</v>
      </c>
      <c r="Q12" s="17">
        <f t="shared" si="0"/>
        <v>0</v>
      </c>
      <c r="R12" s="17">
        <f t="shared" si="0"/>
        <v>0</v>
      </c>
    </row>
    <row r="13" spans="1:19">
      <c r="A13" s="32"/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</row>
    <row r="14" spans="1:19">
      <c r="B14" s="4"/>
      <c r="C14" s="419" t="s">
        <v>22</v>
      </c>
      <c r="D14" s="419"/>
      <c r="E14" s="419"/>
      <c r="F14" s="419"/>
      <c r="G14" s="419"/>
      <c r="H14" s="419"/>
      <c r="I14" s="419"/>
      <c r="J14" s="419"/>
      <c r="K14" s="419"/>
      <c r="L14" s="419"/>
      <c r="M14" s="419"/>
      <c r="N14" s="419"/>
      <c r="O14" s="419"/>
      <c r="P14" s="419"/>
      <c r="Q14" s="419"/>
      <c r="R14" s="419"/>
    </row>
    <row r="15" spans="1:19">
      <c r="B15" s="35" t="s">
        <v>21</v>
      </c>
      <c r="C15" s="4" t="s">
        <v>50</v>
      </c>
      <c r="D15" s="4" t="s">
        <v>1</v>
      </c>
      <c r="E15" s="4" t="s">
        <v>2</v>
      </c>
      <c r="F15" s="4" t="s">
        <v>3</v>
      </c>
      <c r="G15" s="4" t="s">
        <v>4</v>
      </c>
      <c r="H15" s="4" t="s">
        <v>5</v>
      </c>
      <c r="I15" s="4" t="s">
        <v>14</v>
      </c>
      <c r="J15" s="4" t="s">
        <v>15</v>
      </c>
      <c r="K15" s="4" t="s">
        <v>16</v>
      </c>
      <c r="L15" s="4" t="s">
        <v>17</v>
      </c>
      <c r="M15" s="4" t="s">
        <v>18</v>
      </c>
      <c r="N15" s="4" t="s">
        <v>56</v>
      </c>
      <c r="O15" s="4" t="s">
        <v>57</v>
      </c>
      <c r="P15" s="4" t="s">
        <v>58</v>
      </c>
      <c r="Q15" s="4" t="s">
        <v>59</v>
      </c>
      <c r="R15" s="4" t="s">
        <v>51</v>
      </c>
    </row>
    <row r="16" spans="1:19">
      <c r="B16" s="4">
        <v>0</v>
      </c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</row>
    <row r="17" spans="2:18">
      <c r="B17" s="4">
        <f>B16+1</f>
        <v>1</v>
      </c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</row>
    <row r="18" spans="2:18">
      <c r="B18" s="4">
        <f t="shared" ref="B18:B23" si="1">B17+1</f>
        <v>2</v>
      </c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</row>
    <row r="19" spans="2:18">
      <c r="B19" s="4">
        <f t="shared" si="1"/>
        <v>3</v>
      </c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</row>
    <row r="20" spans="2:18">
      <c r="B20" s="4">
        <f t="shared" si="1"/>
        <v>4</v>
      </c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</row>
    <row r="21" spans="2:18">
      <c r="B21" s="4">
        <f t="shared" si="1"/>
        <v>5</v>
      </c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</row>
    <row r="22" spans="2:18">
      <c r="B22" s="4">
        <f t="shared" si="1"/>
        <v>6</v>
      </c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</row>
    <row r="23" spans="2:18">
      <c r="B23" s="4">
        <f t="shared" si="1"/>
        <v>7</v>
      </c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</row>
    <row r="24" spans="2:18">
      <c r="B24" s="4">
        <v>8</v>
      </c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</row>
    <row r="25" spans="2:18">
      <c r="B25" s="4"/>
      <c r="C25" s="17">
        <f t="shared" ref="C25:R25" si="2">SUM(C16:C23)</f>
        <v>0</v>
      </c>
      <c r="D25" s="17">
        <f t="shared" si="2"/>
        <v>0</v>
      </c>
      <c r="E25" s="17">
        <f t="shared" si="2"/>
        <v>0</v>
      </c>
      <c r="F25" s="17">
        <f t="shared" si="2"/>
        <v>0</v>
      </c>
      <c r="G25" s="17">
        <f t="shared" si="2"/>
        <v>0</v>
      </c>
      <c r="H25" s="17">
        <f t="shared" si="2"/>
        <v>0</v>
      </c>
      <c r="I25" s="17">
        <f t="shared" si="2"/>
        <v>0</v>
      </c>
      <c r="J25" s="17">
        <f t="shared" si="2"/>
        <v>0</v>
      </c>
      <c r="K25" s="17">
        <f t="shared" si="2"/>
        <v>0</v>
      </c>
      <c r="L25" s="17">
        <f t="shared" si="2"/>
        <v>0</v>
      </c>
      <c r="M25" s="17">
        <f t="shared" si="2"/>
        <v>0</v>
      </c>
      <c r="N25" s="17">
        <f t="shared" si="2"/>
        <v>0</v>
      </c>
      <c r="O25" s="17">
        <f t="shared" si="2"/>
        <v>0</v>
      </c>
      <c r="P25" s="17">
        <f t="shared" si="2"/>
        <v>0</v>
      </c>
      <c r="Q25" s="17">
        <f t="shared" si="2"/>
        <v>0</v>
      </c>
      <c r="R25" s="17">
        <f t="shared" si="2"/>
        <v>0</v>
      </c>
    </row>
    <row r="26" spans="2:18"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</row>
    <row r="27" spans="2:18"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</row>
    <row r="28" spans="2:18">
      <c r="B28" s="4"/>
      <c r="C28" s="419" t="s">
        <v>186</v>
      </c>
      <c r="D28" s="419"/>
      <c r="E28" s="419"/>
      <c r="F28" s="419"/>
      <c r="G28" s="419"/>
      <c r="H28" s="419"/>
      <c r="I28" s="419"/>
      <c r="J28" s="419"/>
      <c r="K28" s="419"/>
      <c r="L28" s="419"/>
      <c r="M28" s="419"/>
      <c r="N28" s="419"/>
      <c r="O28" s="419"/>
      <c r="P28" s="419"/>
      <c r="Q28" s="419"/>
      <c r="R28" s="419"/>
    </row>
    <row r="29" spans="2:18">
      <c r="B29" s="35" t="s">
        <v>21</v>
      </c>
      <c r="C29" s="4" t="s">
        <v>50</v>
      </c>
      <c r="D29" s="4" t="s">
        <v>1</v>
      </c>
      <c r="E29" s="4" t="s">
        <v>2</v>
      </c>
      <c r="F29" s="4" t="s">
        <v>3</v>
      </c>
      <c r="G29" s="4" t="s">
        <v>4</v>
      </c>
      <c r="H29" s="4" t="s">
        <v>5</v>
      </c>
      <c r="I29" s="4" t="s">
        <v>14</v>
      </c>
      <c r="J29" s="4" t="s">
        <v>15</v>
      </c>
      <c r="K29" s="4" t="s">
        <v>16</v>
      </c>
      <c r="L29" s="4" t="s">
        <v>17</v>
      </c>
      <c r="M29" s="4" t="s">
        <v>18</v>
      </c>
      <c r="N29" s="4" t="s">
        <v>56</v>
      </c>
      <c r="O29" s="4" t="s">
        <v>57</v>
      </c>
      <c r="P29" s="4" t="s">
        <v>58</v>
      </c>
      <c r="Q29" s="4" t="s">
        <v>59</v>
      </c>
      <c r="R29" s="4" t="s">
        <v>51</v>
      </c>
    </row>
    <row r="30" spans="2:18">
      <c r="B30" s="4" t="s">
        <v>185</v>
      </c>
      <c r="C30" s="36"/>
      <c r="D30" s="36">
        <v>0</v>
      </c>
      <c r="E30" s="36">
        <v>0</v>
      </c>
      <c r="F30" s="36">
        <v>0</v>
      </c>
      <c r="G30" s="36">
        <v>0</v>
      </c>
      <c r="H30" s="36">
        <v>0</v>
      </c>
      <c r="I30" s="36">
        <v>0</v>
      </c>
      <c r="J30" s="36">
        <v>0</v>
      </c>
      <c r="K30" s="36"/>
      <c r="L30" s="36">
        <v>0</v>
      </c>
      <c r="M30" s="36">
        <v>0</v>
      </c>
      <c r="N30" s="36">
        <v>0</v>
      </c>
      <c r="O30" s="36">
        <v>0</v>
      </c>
      <c r="P30" s="36">
        <v>0</v>
      </c>
      <c r="Q30" s="36"/>
      <c r="R30" s="36">
        <v>0</v>
      </c>
    </row>
    <row r="32" spans="2:18">
      <c r="C32" s="419" t="s">
        <v>107</v>
      </c>
      <c r="D32" s="419"/>
      <c r="E32" s="419"/>
      <c r="F32" s="419"/>
      <c r="G32" s="419"/>
      <c r="H32" s="419"/>
      <c r="I32" s="419"/>
      <c r="J32" s="419"/>
      <c r="K32" s="419"/>
      <c r="L32" s="419"/>
      <c r="M32" s="419"/>
      <c r="N32" s="419"/>
      <c r="O32" s="419"/>
      <c r="P32" s="419"/>
      <c r="Q32" s="419"/>
      <c r="R32" s="419"/>
    </row>
    <row r="33" spans="3:18">
      <c r="C33" s="4" t="s">
        <v>1</v>
      </c>
      <c r="D33" s="4" t="s">
        <v>2</v>
      </c>
      <c r="E33" s="4" t="s">
        <v>3</v>
      </c>
      <c r="F33" s="4" t="s">
        <v>4</v>
      </c>
      <c r="G33" s="4" t="s">
        <v>5</v>
      </c>
      <c r="H33" s="4" t="s">
        <v>14</v>
      </c>
      <c r="I33" s="4" t="s">
        <v>15</v>
      </c>
      <c r="J33" s="4" t="s">
        <v>16</v>
      </c>
      <c r="K33" s="4" t="s">
        <v>17</v>
      </c>
      <c r="L33" s="4" t="s">
        <v>18</v>
      </c>
      <c r="M33" s="4" t="s">
        <v>56</v>
      </c>
      <c r="N33" s="4" t="s">
        <v>57</v>
      </c>
      <c r="O33" s="4" t="s">
        <v>58</v>
      </c>
      <c r="P33" s="4" t="s">
        <v>59</v>
      </c>
      <c r="Q33" s="4" t="s">
        <v>60</v>
      </c>
      <c r="R33" s="4" t="s">
        <v>51</v>
      </c>
    </row>
    <row r="34" spans="3:18">
      <c r="C34" s="17">
        <f>SUM(C4:C7)</f>
        <v>0</v>
      </c>
      <c r="D34" s="17">
        <f t="shared" ref="D34:R34" si="3">SUM(D4:D7)</f>
        <v>0</v>
      </c>
      <c r="E34" s="17">
        <f t="shared" si="3"/>
        <v>0</v>
      </c>
      <c r="F34" s="17">
        <f t="shared" si="3"/>
        <v>0</v>
      </c>
      <c r="G34" s="17">
        <f t="shared" si="3"/>
        <v>0</v>
      </c>
      <c r="H34" s="17">
        <f t="shared" si="3"/>
        <v>0</v>
      </c>
      <c r="I34" s="17">
        <f t="shared" si="3"/>
        <v>0</v>
      </c>
      <c r="J34" s="17">
        <f t="shared" si="3"/>
        <v>0</v>
      </c>
      <c r="K34" s="17">
        <f t="shared" si="3"/>
        <v>0</v>
      </c>
      <c r="L34" s="17">
        <f t="shared" si="3"/>
        <v>0</v>
      </c>
      <c r="M34" s="17">
        <f t="shared" si="3"/>
        <v>0</v>
      </c>
      <c r="N34" s="17">
        <f t="shared" si="3"/>
        <v>0</v>
      </c>
      <c r="O34" s="17">
        <f t="shared" si="3"/>
        <v>0</v>
      </c>
      <c r="P34" s="17">
        <f t="shared" si="3"/>
        <v>0</v>
      </c>
      <c r="Q34" s="17">
        <f t="shared" si="3"/>
        <v>0</v>
      </c>
      <c r="R34" s="17">
        <f t="shared" si="3"/>
        <v>0</v>
      </c>
    </row>
  </sheetData>
  <mergeCells count="6">
    <mergeCell ref="C28:R28"/>
    <mergeCell ref="C32:R32"/>
    <mergeCell ref="B1:R1"/>
    <mergeCell ref="B2:B3"/>
    <mergeCell ref="C2:R2"/>
    <mergeCell ref="C14:R14"/>
  </mergeCells>
  <phoneticPr fontId="120" type="noConversion"/>
  <pageMargins left="0.78740157499999996" right="0.78740157499999996" top="0.984251969" bottom="0.984251969" header="0.49212598499999999" footer="0.49212598499999999"/>
  <pageSetup paperSize="9" orientation="portrait" horizontalDpi="4294967292" r:id="rId1"/>
  <headerFooter alignWithMargins="0"/>
  <ignoredErrors>
    <ignoredError sqref="G34:N34" formulaRange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9">
    <tabColor theme="9" tint="-0.249977111117893"/>
  </sheetPr>
  <dimension ref="A1:S38"/>
  <sheetViews>
    <sheetView showGridLines="0" zoomScale="70" zoomScaleNormal="70" workbookViewId="0">
      <selection activeCell="A28" sqref="A28:R28"/>
    </sheetView>
  </sheetViews>
  <sheetFormatPr defaultColWidth="7.140625" defaultRowHeight="12.75"/>
  <cols>
    <col min="1" max="1" width="9.28515625" style="13" bestFit="1" customWidth="1"/>
    <col min="2" max="2" width="11.140625" style="13" customWidth="1"/>
    <col min="3" max="18" width="6.85546875" style="13" customWidth="1"/>
    <col min="19" max="19" width="7.140625" style="13" customWidth="1"/>
    <col min="20" max="16384" width="7.140625" style="13"/>
  </cols>
  <sheetData>
    <row r="1" spans="1:19" s="3" customFormat="1" ht="18" customHeight="1">
      <c r="A1" s="2"/>
      <c r="B1" s="420" t="e">
        <f>'Q2.Dados Operacionais'!#REF!</f>
        <v>#REF!</v>
      </c>
      <c r="C1" s="420"/>
      <c r="D1" s="420"/>
      <c r="E1" s="420"/>
      <c r="F1" s="420"/>
      <c r="G1" s="420"/>
      <c r="H1" s="420"/>
      <c r="I1" s="420"/>
      <c r="J1" s="420"/>
      <c r="K1" s="420"/>
      <c r="L1" s="420"/>
      <c r="M1" s="420"/>
      <c r="N1" s="420"/>
      <c r="O1" s="420"/>
      <c r="P1" s="420"/>
      <c r="Q1" s="420"/>
      <c r="R1" s="420"/>
    </row>
    <row r="2" spans="1:19" ht="12.75" customHeight="1">
      <c r="B2" s="421" t="s">
        <v>21</v>
      </c>
      <c r="C2" s="419" t="s">
        <v>187</v>
      </c>
      <c r="D2" s="419"/>
      <c r="E2" s="419"/>
      <c r="F2" s="419"/>
      <c r="G2" s="419"/>
      <c r="H2" s="419"/>
      <c r="I2" s="419"/>
      <c r="J2" s="419"/>
      <c r="K2" s="419"/>
      <c r="L2" s="419"/>
      <c r="M2" s="419"/>
      <c r="N2" s="419"/>
      <c r="O2" s="419"/>
      <c r="P2" s="419"/>
      <c r="Q2" s="419"/>
      <c r="R2" s="419"/>
    </row>
    <row r="3" spans="1:19">
      <c r="B3" s="421"/>
      <c r="C3" s="4" t="s">
        <v>1</v>
      </c>
      <c r="D3" s="4" t="s">
        <v>2</v>
      </c>
      <c r="E3" s="4" t="s">
        <v>3</v>
      </c>
      <c r="F3" s="4" t="s">
        <v>4</v>
      </c>
      <c r="G3" s="4" t="s">
        <v>5</v>
      </c>
      <c r="H3" s="4" t="s">
        <v>14</v>
      </c>
      <c r="I3" s="4" t="s">
        <v>15</v>
      </c>
      <c r="J3" s="4" t="s">
        <v>16</v>
      </c>
      <c r="K3" s="4" t="s">
        <v>17</v>
      </c>
      <c r="L3" s="4" t="s">
        <v>18</v>
      </c>
      <c r="M3" s="4" t="s">
        <v>56</v>
      </c>
      <c r="N3" s="4" t="s">
        <v>57</v>
      </c>
      <c r="O3" s="4" t="s">
        <v>58</v>
      </c>
      <c r="P3" s="4" t="s">
        <v>59</v>
      </c>
      <c r="Q3" s="4" t="s">
        <v>60</v>
      </c>
      <c r="R3" s="4" t="s">
        <v>51</v>
      </c>
    </row>
    <row r="4" spans="1:19">
      <c r="B4" s="33">
        <v>0</v>
      </c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</row>
    <row r="5" spans="1:19">
      <c r="B5" s="33">
        <v>1</v>
      </c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28"/>
    </row>
    <row r="6" spans="1:19">
      <c r="B6" s="33">
        <v>2</v>
      </c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</row>
    <row r="7" spans="1:19">
      <c r="B7" s="33">
        <v>3</v>
      </c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</row>
    <row r="8" spans="1:19">
      <c r="B8" s="33">
        <v>4</v>
      </c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</row>
    <row r="9" spans="1:19">
      <c r="B9" s="4">
        <v>5</v>
      </c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</row>
    <row r="10" spans="1:19">
      <c r="B10" s="4">
        <v>6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</row>
    <row r="11" spans="1:19">
      <c r="B11" s="4">
        <v>7</v>
      </c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</row>
    <row r="12" spans="1:19">
      <c r="B12" s="4">
        <v>8</v>
      </c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</row>
    <row r="13" spans="1:19">
      <c r="B13" s="4">
        <v>9</v>
      </c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</row>
    <row r="14" spans="1:19">
      <c r="B14" s="33" t="s">
        <v>12</v>
      </c>
      <c r="C14" s="17">
        <f t="shared" ref="C14:R14" si="0">SUM(C4:C13)</f>
        <v>0</v>
      </c>
      <c r="D14" s="17">
        <f t="shared" si="0"/>
        <v>0</v>
      </c>
      <c r="E14" s="17">
        <f t="shared" si="0"/>
        <v>0</v>
      </c>
      <c r="F14" s="17">
        <f t="shared" si="0"/>
        <v>0</v>
      </c>
      <c r="G14" s="17">
        <f t="shared" si="0"/>
        <v>0</v>
      </c>
      <c r="H14" s="17">
        <f t="shared" si="0"/>
        <v>0</v>
      </c>
      <c r="I14" s="17">
        <f t="shared" si="0"/>
        <v>0</v>
      </c>
      <c r="J14" s="17">
        <f t="shared" si="0"/>
        <v>0</v>
      </c>
      <c r="K14" s="17">
        <f t="shared" si="0"/>
        <v>0</v>
      </c>
      <c r="L14" s="17">
        <f t="shared" si="0"/>
        <v>0</v>
      </c>
      <c r="M14" s="17">
        <f t="shared" si="0"/>
        <v>0</v>
      </c>
      <c r="N14" s="17">
        <f t="shared" si="0"/>
        <v>0</v>
      </c>
      <c r="O14" s="17">
        <f t="shared" si="0"/>
        <v>0</v>
      </c>
      <c r="P14" s="17">
        <f t="shared" si="0"/>
        <v>0</v>
      </c>
      <c r="Q14" s="17">
        <f t="shared" si="0"/>
        <v>0</v>
      </c>
      <c r="R14" s="17">
        <f t="shared" si="0"/>
        <v>0</v>
      </c>
    </row>
    <row r="15" spans="1:19">
      <c r="A15" s="32"/>
      <c r="B15" s="3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</row>
    <row r="16" spans="1:19">
      <c r="B16" s="4"/>
      <c r="C16" s="419" t="s">
        <v>22</v>
      </c>
      <c r="D16" s="419"/>
      <c r="E16" s="419"/>
      <c r="F16" s="419"/>
      <c r="G16" s="419"/>
      <c r="H16" s="419"/>
      <c r="I16" s="419"/>
      <c r="J16" s="419"/>
      <c r="K16" s="419"/>
      <c r="L16" s="419"/>
      <c r="M16" s="419"/>
      <c r="N16" s="419"/>
      <c r="O16" s="419"/>
      <c r="P16" s="419"/>
      <c r="Q16" s="419"/>
      <c r="R16" s="419"/>
    </row>
    <row r="17" spans="2:18">
      <c r="B17" s="35" t="s">
        <v>21</v>
      </c>
      <c r="C17" s="4" t="s">
        <v>50</v>
      </c>
      <c r="D17" s="4" t="s">
        <v>1</v>
      </c>
      <c r="E17" s="4" t="s">
        <v>2</v>
      </c>
      <c r="F17" s="4" t="s">
        <v>3</v>
      </c>
      <c r="G17" s="4" t="s">
        <v>4</v>
      </c>
      <c r="H17" s="4" t="s">
        <v>5</v>
      </c>
      <c r="I17" s="4" t="s">
        <v>14</v>
      </c>
      <c r="J17" s="4" t="s">
        <v>15</v>
      </c>
      <c r="K17" s="4" t="s">
        <v>16</v>
      </c>
      <c r="L17" s="4" t="s">
        <v>17</v>
      </c>
      <c r="M17" s="4" t="s">
        <v>18</v>
      </c>
      <c r="N17" s="4" t="s">
        <v>56</v>
      </c>
      <c r="O17" s="4" t="s">
        <v>57</v>
      </c>
      <c r="P17" s="4" t="s">
        <v>58</v>
      </c>
      <c r="Q17" s="4" t="s">
        <v>59</v>
      </c>
      <c r="R17" s="4" t="s">
        <v>51</v>
      </c>
    </row>
    <row r="18" spans="2:18">
      <c r="B18" s="4">
        <v>0</v>
      </c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</row>
    <row r="19" spans="2:18">
      <c r="B19" s="4">
        <f>B18+1</f>
        <v>1</v>
      </c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</row>
    <row r="20" spans="2:18">
      <c r="B20" s="4">
        <f t="shared" ref="B20:B28" si="1">B19+1</f>
        <v>2</v>
      </c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</row>
    <row r="21" spans="2:18">
      <c r="B21" s="4">
        <f t="shared" si="1"/>
        <v>3</v>
      </c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</row>
    <row r="22" spans="2:18">
      <c r="B22" s="4">
        <f t="shared" si="1"/>
        <v>4</v>
      </c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</row>
    <row r="23" spans="2:18">
      <c r="B23" s="4">
        <f t="shared" si="1"/>
        <v>5</v>
      </c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</row>
    <row r="24" spans="2:18">
      <c r="B24" s="4">
        <f t="shared" si="1"/>
        <v>6</v>
      </c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</row>
    <row r="25" spans="2:18">
      <c r="B25" s="4">
        <f t="shared" si="1"/>
        <v>7</v>
      </c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</row>
    <row r="26" spans="2:18">
      <c r="B26" s="4">
        <f t="shared" si="1"/>
        <v>8</v>
      </c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</row>
    <row r="27" spans="2:18">
      <c r="B27" s="4">
        <f t="shared" si="1"/>
        <v>9</v>
      </c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</row>
    <row r="28" spans="2:18">
      <c r="B28" s="4">
        <f t="shared" si="1"/>
        <v>10</v>
      </c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</row>
    <row r="29" spans="2:18">
      <c r="B29" s="4"/>
      <c r="C29" s="17">
        <f t="shared" ref="C29:R29" si="2">SUM(C18:C28)</f>
        <v>0</v>
      </c>
      <c r="D29" s="17">
        <f t="shared" si="2"/>
        <v>0</v>
      </c>
      <c r="E29" s="17">
        <f t="shared" si="2"/>
        <v>0</v>
      </c>
      <c r="F29" s="17">
        <f t="shared" si="2"/>
        <v>0</v>
      </c>
      <c r="G29" s="17">
        <f t="shared" si="2"/>
        <v>0</v>
      </c>
      <c r="H29" s="17">
        <f t="shared" si="2"/>
        <v>0</v>
      </c>
      <c r="I29" s="17">
        <f t="shared" si="2"/>
        <v>0</v>
      </c>
      <c r="J29" s="17">
        <f t="shared" si="2"/>
        <v>0</v>
      </c>
      <c r="K29" s="17">
        <f t="shared" si="2"/>
        <v>0</v>
      </c>
      <c r="L29" s="17">
        <f t="shared" si="2"/>
        <v>0</v>
      </c>
      <c r="M29" s="17">
        <f t="shared" si="2"/>
        <v>0</v>
      </c>
      <c r="N29" s="17">
        <f t="shared" si="2"/>
        <v>0</v>
      </c>
      <c r="O29" s="17">
        <f t="shared" si="2"/>
        <v>0</v>
      </c>
      <c r="P29" s="17">
        <f t="shared" si="2"/>
        <v>0</v>
      </c>
      <c r="Q29" s="17">
        <f t="shared" si="2"/>
        <v>0</v>
      </c>
      <c r="R29" s="17">
        <f t="shared" si="2"/>
        <v>0</v>
      </c>
    </row>
    <row r="30" spans="2:18"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</row>
    <row r="31" spans="2:18"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</row>
    <row r="32" spans="2:18">
      <c r="B32" s="4"/>
      <c r="C32" s="419" t="s">
        <v>186</v>
      </c>
      <c r="D32" s="419"/>
      <c r="E32" s="419"/>
      <c r="F32" s="419"/>
      <c r="G32" s="419"/>
      <c r="H32" s="419"/>
      <c r="I32" s="419"/>
      <c r="J32" s="419"/>
      <c r="K32" s="419"/>
      <c r="L32" s="419"/>
      <c r="M32" s="419"/>
      <c r="N32" s="419"/>
      <c r="O32" s="419"/>
      <c r="P32" s="419"/>
      <c r="Q32" s="419"/>
      <c r="R32" s="419"/>
    </row>
    <row r="33" spans="2:18">
      <c r="B33" s="35" t="s">
        <v>21</v>
      </c>
      <c r="C33" s="4" t="s">
        <v>50</v>
      </c>
      <c r="D33" s="4" t="s">
        <v>1</v>
      </c>
      <c r="E33" s="4" t="s">
        <v>2</v>
      </c>
      <c r="F33" s="4" t="s">
        <v>3</v>
      </c>
      <c r="G33" s="4" t="s">
        <v>4</v>
      </c>
      <c r="H33" s="4" t="s">
        <v>5</v>
      </c>
      <c r="I33" s="4" t="s">
        <v>14</v>
      </c>
      <c r="J33" s="4" t="s">
        <v>15</v>
      </c>
      <c r="K33" s="4" t="s">
        <v>16</v>
      </c>
      <c r="L33" s="4" t="s">
        <v>17</v>
      </c>
      <c r="M33" s="4" t="s">
        <v>18</v>
      </c>
      <c r="N33" s="4" t="s">
        <v>56</v>
      </c>
      <c r="O33" s="4" t="s">
        <v>57</v>
      </c>
      <c r="P33" s="4" t="s">
        <v>58</v>
      </c>
      <c r="Q33" s="4" t="s">
        <v>59</v>
      </c>
      <c r="R33" s="4" t="s">
        <v>51</v>
      </c>
    </row>
    <row r="34" spans="2:18">
      <c r="B34" s="4" t="s">
        <v>185</v>
      </c>
      <c r="C34" s="36"/>
      <c r="D34" s="36">
        <v>0</v>
      </c>
      <c r="E34" s="36">
        <v>0</v>
      </c>
      <c r="F34" s="36">
        <v>0</v>
      </c>
      <c r="G34" s="36">
        <v>0</v>
      </c>
      <c r="H34" s="36">
        <v>0</v>
      </c>
      <c r="I34" s="36">
        <v>0</v>
      </c>
      <c r="J34" s="36">
        <v>0</v>
      </c>
      <c r="K34" s="36">
        <v>0</v>
      </c>
      <c r="L34" s="36">
        <v>0</v>
      </c>
      <c r="M34" s="36"/>
      <c r="N34" s="36">
        <v>0</v>
      </c>
      <c r="O34" s="36">
        <v>0</v>
      </c>
      <c r="P34" s="36">
        <v>0</v>
      </c>
      <c r="Q34" s="36">
        <v>0</v>
      </c>
      <c r="R34" s="36">
        <v>0</v>
      </c>
    </row>
    <row r="36" spans="2:18">
      <c r="C36" s="419" t="s">
        <v>107</v>
      </c>
      <c r="D36" s="419"/>
      <c r="E36" s="419"/>
      <c r="F36" s="419"/>
      <c r="G36" s="419"/>
      <c r="H36" s="419"/>
      <c r="I36" s="419"/>
      <c r="J36" s="419"/>
      <c r="K36" s="419"/>
      <c r="L36" s="419"/>
      <c r="M36" s="419"/>
      <c r="N36" s="419"/>
      <c r="O36" s="419"/>
      <c r="P36" s="419"/>
      <c r="Q36" s="419"/>
      <c r="R36" s="419"/>
    </row>
    <row r="37" spans="2:18">
      <c r="C37" s="4" t="s">
        <v>1</v>
      </c>
      <c r="D37" s="4" t="s">
        <v>2</v>
      </c>
      <c r="E37" s="4" t="s">
        <v>3</v>
      </c>
      <c r="F37" s="4" t="s">
        <v>4</v>
      </c>
      <c r="G37" s="4" t="s">
        <v>5</v>
      </c>
      <c r="H37" s="4" t="s">
        <v>14</v>
      </c>
      <c r="I37" s="4" t="s">
        <v>15</v>
      </c>
      <c r="J37" s="4" t="s">
        <v>16</v>
      </c>
      <c r="K37" s="4" t="s">
        <v>17</v>
      </c>
      <c r="L37" s="4" t="s">
        <v>18</v>
      </c>
      <c r="M37" s="4" t="s">
        <v>56</v>
      </c>
      <c r="N37" s="4" t="s">
        <v>57</v>
      </c>
      <c r="O37" s="4" t="s">
        <v>58</v>
      </c>
      <c r="P37" s="4" t="s">
        <v>59</v>
      </c>
      <c r="Q37" s="4" t="s">
        <v>60</v>
      </c>
      <c r="R37" s="4" t="s">
        <v>51</v>
      </c>
    </row>
    <row r="38" spans="2:18">
      <c r="C38" s="17">
        <f>SUM(C4:C7)</f>
        <v>0</v>
      </c>
      <c r="D38" s="17">
        <f t="shared" ref="D38:R38" si="3">SUM(D4:D7)</f>
        <v>0</v>
      </c>
      <c r="E38" s="17">
        <f t="shared" si="3"/>
        <v>0</v>
      </c>
      <c r="F38" s="17">
        <f t="shared" si="3"/>
        <v>0</v>
      </c>
      <c r="G38" s="17">
        <f t="shared" si="3"/>
        <v>0</v>
      </c>
      <c r="H38" s="17">
        <f t="shared" si="3"/>
        <v>0</v>
      </c>
      <c r="I38" s="17">
        <f t="shared" si="3"/>
        <v>0</v>
      </c>
      <c r="J38" s="17">
        <f t="shared" si="3"/>
        <v>0</v>
      </c>
      <c r="K38" s="17">
        <f t="shared" si="3"/>
        <v>0</v>
      </c>
      <c r="L38" s="17">
        <f t="shared" si="3"/>
        <v>0</v>
      </c>
      <c r="M38" s="17">
        <f t="shared" si="3"/>
        <v>0</v>
      </c>
      <c r="N38" s="17">
        <f t="shared" si="3"/>
        <v>0</v>
      </c>
      <c r="O38" s="17">
        <f t="shared" si="3"/>
        <v>0</v>
      </c>
      <c r="P38" s="17">
        <f t="shared" si="3"/>
        <v>0</v>
      </c>
      <c r="Q38" s="17">
        <f t="shared" si="3"/>
        <v>0</v>
      </c>
      <c r="R38" s="17">
        <f t="shared" si="3"/>
        <v>0</v>
      </c>
    </row>
  </sheetData>
  <mergeCells count="6">
    <mergeCell ref="C32:R32"/>
    <mergeCell ref="C36:R36"/>
    <mergeCell ref="B1:R1"/>
    <mergeCell ref="B2:B3"/>
    <mergeCell ref="C2:R2"/>
    <mergeCell ref="C16:R16"/>
  </mergeCells>
  <phoneticPr fontId="120" type="noConversion"/>
  <pageMargins left="0.78740157499999996" right="0.78740157499999996" top="0.984251969" bottom="0.984251969" header="0.49212598499999999" footer="0.49212598499999999"/>
  <pageSetup paperSize="9" orientation="portrait" horizontalDpi="4294967292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17"/>
  <dimension ref="A1:H74"/>
  <sheetViews>
    <sheetView showGridLines="0" zoomScale="90" zoomScaleNormal="90" workbookViewId="0">
      <selection activeCell="M27" sqref="M27"/>
    </sheetView>
  </sheetViews>
  <sheetFormatPr defaultColWidth="7.140625" defaultRowHeight="12.75"/>
  <cols>
    <col min="1" max="1" width="28.42578125" style="270" customWidth="1"/>
    <col min="2" max="2" width="17.42578125" style="270" customWidth="1"/>
    <col min="3" max="3" width="7.140625" style="270" customWidth="1"/>
    <col min="4" max="4" width="15" style="270" bestFit="1" customWidth="1"/>
    <col min="5" max="5" width="11.140625" style="270" bestFit="1" customWidth="1"/>
    <col min="6" max="14" width="9.7109375" style="270" customWidth="1"/>
    <col min="15" max="23" width="8.28515625" style="270" customWidth="1"/>
    <col min="24" max="16384" width="7.140625" style="270"/>
  </cols>
  <sheetData>
    <row r="1" spans="1:8">
      <c r="A1" s="269" t="s">
        <v>27</v>
      </c>
    </row>
    <row r="3" spans="1:8">
      <c r="B3" s="322"/>
    </row>
    <row r="4" spans="1:8" ht="15" customHeight="1">
      <c r="A4" s="299"/>
      <c r="B4" s="275" t="s">
        <v>232</v>
      </c>
    </row>
    <row r="5" spans="1:8" ht="15" customHeight="1">
      <c r="A5" s="323" t="s">
        <v>39</v>
      </c>
      <c r="B5" s="43">
        <f>(353493*(541.784/328.867))+50000</f>
        <v>632353.50920584914</v>
      </c>
    </row>
    <row r="6" spans="1:8" ht="15" customHeight="1">
      <c r="A6" s="324"/>
    </row>
    <row r="7" spans="1:8" ht="15" customHeight="1">
      <c r="A7" s="323" t="s">
        <v>61</v>
      </c>
      <c r="B7" s="325">
        <f>B5-('Q3.C Variável'!C10*'Q3.C Variável'!E10)</f>
        <v>617815.62920584914</v>
      </c>
    </row>
    <row r="8" spans="1:8" ht="15" customHeight="1">
      <c r="A8" s="326"/>
      <c r="B8" s="45"/>
    </row>
    <row r="9" spans="1:8">
      <c r="A9" s="327" t="s">
        <v>19</v>
      </c>
      <c r="B9" s="47">
        <v>8</v>
      </c>
      <c r="D9" s="298"/>
      <c r="E9" s="328"/>
      <c r="F9" s="328"/>
      <c r="G9" s="328"/>
      <c r="H9" s="328"/>
    </row>
    <row r="10" spans="1:8">
      <c r="A10" s="327" t="s">
        <v>20</v>
      </c>
      <c r="B10" s="48">
        <v>0.1</v>
      </c>
      <c r="F10" s="298"/>
      <c r="G10" s="298"/>
      <c r="H10" s="298"/>
    </row>
    <row r="11" spans="1:8">
      <c r="A11" s="299"/>
      <c r="B11" s="49"/>
    </row>
    <row r="12" spans="1:8">
      <c r="A12" s="329" t="s">
        <v>21</v>
      </c>
      <c r="B12" s="275" t="s">
        <v>232</v>
      </c>
      <c r="D12" s="422" t="s">
        <v>232</v>
      </c>
      <c r="E12" s="423"/>
    </row>
    <row r="13" spans="1:8">
      <c r="A13" s="330">
        <v>0</v>
      </c>
      <c r="B13" s="331">
        <f>B5</f>
        <v>632353.50920584914</v>
      </c>
      <c r="C13" s="294"/>
      <c r="D13" s="283" t="s">
        <v>76</v>
      </c>
      <c r="E13" s="283" t="s">
        <v>77</v>
      </c>
    </row>
    <row r="14" spans="1:8">
      <c r="A14" s="330">
        <v>1</v>
      </c>
      <c r="B14" s="331">
        <f>$B$5*(1-E14)</f>
        <v>505882.80736467935</v>
      </c>
      <c r="C14" s="294"/>
      <c r="D14" s="332">
        <f t="shared" ref="D14:D33" si="0">IF(A14&gt;$B$9,0,IF((1-$B$10)*($E$58-A14+1)/VLOOKUP($B$9,$A$59:$B$74,2,FALSE)&lt;0,0,(1-$B$10)*($B$9-A14+1)/VLOOKUP($B$9,$A$59:$B$74,2,FALSE)))</f>
        <v>0.2</v>
      </c>
      <c r="E14" s="333">
        <f>D14</f>
        <v>0.2</v>
      </c>
    </row>
    <row r="15" spans="1:8">
      <c r="A15" s="330">
        <v>2</v>
      </c>
      <c r="B15" s="331">
        <f t="shared" ref="B15:B33" si="1">$B$5*(1-E15)</f>
        <v>395220.94325365569</v>
      </c>
      <c r="D15" s="332">
        <f t="shared" si="0"/>
        <v>0.17499999999999999</v>
      </c>
      <c r="E15" s="333">
        <f>E14+D15</f>
        <v>0.375</v>
      </c>
    </row>
    <row r="16" spans="1:8">
      <c r="A16" s="330">
        <v>3</v>
      </c>
      <c r="B16" s="331">
        <f t="shared" si="1"/>
        <v>300367.91687277833</v>
      </c>
      <c r="D16" s="332">
        <f t="shared" si="0"/>
        <v>0.15000000000000002</v>
      </c>
      <c r="E16" s="333">
        <f t="shared" ref="E16:E33" si="2">E15+D16</f>
        <v>0.52500000000000002</v>
      </c>
    </row>
    <row r="17" spans="1:5">
      <c r="A17" s="330">
        <v>4</v>
      </c>
      <c r="B17" s="331">
        <f t="shared" si="1"/>
        <v>221323.72822204718</v>
      </c>
      <c r="D17" s="332">
        <f t="shared" si="0"/>
        <v>0.125</v>
      </c>
      <c r="E17" s="333">
        <f t="shared" si="2"/>
        <v>0.65</v>
      </c>
    </row>
    <row r="18" spans="1:5">
      <c r="A18" s="330">
        <v>5</v>
      </c>
      <c r="B18" s="331">
        <f t="shared" si="1"/>
        <v>158088.37730146229</v>
      </c>
      <c r="D18" s="332">
        <f t="shared" si="0"/>
        <v>0.1</v>
      </c>
      <c r="E18" s="333">
        <f t="shared" si="2"/>
        <v>0.75</v>
      </c>
    </row>
    <row r="19" spans="1:5">
      <c r="A19" s="330">
        <v>6</v>
      </c>
      <c r="B19" s="331">
        <f t="shared" si="1"/>
        <v>110661.86411102363</v>
      </c>
      <c r="D19" s="332">
        <f t="shared" si="0"/>
        <v>7.5000000000000011E-2</v>
      </c>
      <c r="E19" s="333">
        <f t="shared" si="2"/>
        <v>0.82499999999999996</v>
      </c>
    </row>
    <row r="20" spans="1:5">
      <c r="A20" s="330">
        <v>7</v>
      </c>
      <c r="B20" s="331">
        <f t="shared" si="1"/>
        <v>79044.188650731143</v>
      </c>
      <c r="D20" s="332">
        <f t="shared" si="0"/>
        <v>0.05</v>
      </c>
      <c r="E20" s="333">
        <f t="shared" si="2"/>
        <v>0.875</v>
      </c>
    </row>
    <row r="21" spans="1:5">
      <c r="A21" s="330">
        <v>8</v>
      </c>
      <c r="B21" s="331">
        <f t="shared" si="1"/>
        <v>63235.350920584897</v>
      </c>
      <c r="D21" s="332">
        <f t="shared" si="0"/>
        <v>2.5000000000000001E-2</v>
      </c>
      <c r="E21" s="333">
        <f t="shared" si="2"/>
        <v>0.9</v>
      </c>
    </row>
    <row r="22" spans="1:5">
      <c r="A22" s="330">
        <v>9</v>
      </c>
      <c r="B22" s="331">
        <f t="shared" si="1"/>
        <v>63235.350920584897</v>
      </c>
      <c r="D22" s="332">
        <f t="shared" si="0"/>
        <v>0</v>
      </c>
      <c r="E22" s="333">
        <f t="shared" si="2"/>
        <v>0.9</v>
      </c>
    </row>
    <row r="23" spans="1:5">
      <c r="A23" s="330">
        <v>10</v>
      </c>
      <c r="B23" s="331">
        <f t="shared" si="1"/>
        <v>63235.350920584897</v>
      </c>
      <c r="D23" s="332">
        <f t="shared" si="0"/>
        <v>0</v>
      </c>
      <c r="E23" s="333">
        <f t="shared" si="2"/>
        <v>0.9</v>
      </c>
    </row>
    <row r="24" spans="1:5">
      <c r="A24" s="330">
        <v>11</v>
      </c>
      <c r="B24" s="331">
        <f t="shared" si="1"/>
        <v>63235.350920584897</v>
      </c>
      <c r="D24" s="332">
        <f t="shared" si="0"/>
        <v>0</v>
      </c>
      <c r="E24" s="333">
        <f t="shared" si="2"/>
        <v>0.9</v>
      </c>
    </row>
    <row r="25" spans="1:5">
      <c r="A25" s="330">
        <v>12</v>
      </c>
      <c r="B25" s="331">
        <f t="shared" si="1"/>
        <v>63235.350920584897</v>
      </c>
      <c r="D25" s="332">
        <f t="shared" si="0"/>
        <v>0</v>
      </c>
      <c r="E25" s="333">
        <f t="shared" si="2"/>
        <v>0.9</v>
      </c>
    </row>
    <row r="26" spans="1:5">
      <c r="A26" s="330">
        <v>13</v>
      </c>
      <c r="B26" s="331">
        <f t="shared" si="1"/>
        <v>63235.350920584897</v>
      </c>
      <c r="D26" s="332">
        <f t="shared" si="0"/>
        <v>0</v>
      </c>
      <c r="E26" s="333">
        <f t="shared" si="2"/>
        <v>0.9</v>
      </c>
    </row>
    <row r="27" spans="1:5">
      <c r="A27" s="330">
        <v>14</v>
      </c>
      <c r="B27" s="331">
        <f t="shared" si="1"/>
        <v>63235.350920584897</v>
      </c>
      <c r="D27" s="332">
        <f t="shared" si="0"/>
        <v>0</v>
      </c>
      <c r="E27" s="333">
        <f t="shared" si="2"/>
        <v>0.9</v>
      </c>
    </row>
    <row r="28" spans="1:5">
      <c r="A28" s="330">
        <v>15</v>
      </c>
      <c r="B28" s="331">
        <f t="shared" si="1"/>
        <v>63235.350920584897</v>
      </c>
      <c r="D28" s="332">
        <f t="shared" si="0"/>
        <v>0</v>
      </c>
      <c r="E28" s="333">
        <f t="shared" si="2"/>
        <v>0.9</v>
      </c>
    </row>
    <row r="29" spans="1:5">
      <c r="A29" s="330">
        <v>16</v>
      </c>
      <c r="B29" s="331">
        <f t="shared" si="1"/>
        <v>63235.350920584897</v>
      </c>
      <c r="D29" s="332">
        <f t="shared" si="0"/>
        <v>0</v>
      </c>
      <c r="E29" s="333">
        <f t="shared" si="2"/>
        <v>0.9</v>
      </c>
    </row>
    <row r="30" spans="1:5">
      <c r="A30" s="330">
        <v>17</v>
      </c>
      <c r="B30" s="331">
        <f t="shared" si="1"/>
        <v>63235.350920584897</v>
      </c>
      <c r="D30" s="332">
        <f t="shared" si="0"/>
        <v>0</v>
      </c>
      <c r="E30" s="333">
        <f t="shared" si="2"/>
        <v>0.9</v>
      </c>
    </row>
    <row r="31" spans="1:5">
      <c r="A31" s="330">
        <v>18</v>
      </c>
      <c r="B31" s="331">
        <f t="shared" si="1"/>
        <v>63235.350920584897</v>
      </c>
      <c r="D31" s="332">
        <f t="shared" si="0"/>
        <v>0</v>
      </c>
      <c r="E31" s="333">
        <f t="shared" si="2"/>
        <v>0.9</v>
      </c>
    </row>
    <row r="32" spans="1:5">
      <c r="A32" s="330">
        <v>19</v>
      </c>
      <c r="B32" s="331">
        <f t="shared" si="1"/>
        <v>63235.350920584897</v>
      </c>
      <c r="D32" s="332">
        <f t="shared" si="0"/>
        <v>0</v>
      </c>
      <c r="E32" s="333">
        <f t="shared" si="2"/>
        <v>0.9</v>
      </c>
    </row>
    <row r="33" spans="1:5">
      <c r="A33" s="330">
        <v>20</v>
      </c>
      <c r="B33" s="331">
        <f t="shared" si="1"/>
        <v>63235.350920584897</v>
      </c>
      <c r="D33" s="332">
        <f t="shared" si="0"/>
        <v>0</v>
      </c>
      <c r="E33" s="333">
        <f t="shared" si="2"/>
        <v>0.9</v>
      </c>
    </row>
    <row r="34" spans="1:5">
      <c r="A34" s="334"/>
    </row>
    <row r="35" spans="1:5" hidden="1">
      <c r="A35" s="335" t="s">
        <v>73</v>
      </c>
    </row>
    <row r="36" spans="1:5" hidden="1">
      <c r="A36" s="336">
        <v>1</v>
      </c>
    </row>
    <row r="37" spans="1:5" hidden="1">
      <c r="A37" s="336">
        <v>2</v>
      </c>
    </row>
    <row r="38" spans="1:5" hidden="1">
      <c r="A38" s="336">
        <v>3</v>
      </c>
    </row>
    <row r="39" spans="1:5" hidden="1">
      <c r="A39" s="336">
        <v>4</v>
      </c>
    </row>
    <row r="40" spans="1:5" hidden="1">
      <c r="A40" s="336">
        <v>5</v>
      </c>
    </row>
    <row r="41" spans="1:5" hidden="1">
      <c r="A41" s="336">
        <v>6</v>
      </c>
    </row>
    <row r="42" spans="1:5" hidden="1">
      <c r="A42" s="336">
        <v>7</v>
      </c>
    </row>
    <row r="43" spans="1:5" hidden="1">
      <c r="A43" s="336">
        <v>8</v>
      </c>
    </row>
    <row r="44" spans="1:5" hidden="1">
      <c r="A44" s="336">
        <v>9</v>
      </c>
    </row>
    <row r="45" spans="1:5" hidden="1">
      <c r="A45" s="336">
        <v>10</v>
      </c>
    </row>
    <row r="46" spans="1:5" hidden="1">
      <c r="A46" s="336">
        <v>11</v>
      </c>
    </row>
    <row r="47" spans="1:5" hidden="1">
      <c r="A47" s="336">
        <v>12</v>
      </c>
    </row>
    <row r="48" spans="1:5" hidden="1">
      <c r="A48" s="336">
        <v>13</v>
      </c>
    </row>
    <row r="49" spans="1:5" hidden="1">
      <c r="A49" s="336">
        <v>14</v>
      </c>
    </row>
    <row r="50" spans="1:5" hidden="1">
      <c r="A50" s="336">
        <v>15</v>
      </c>
    </row>
    <row r="51" spans="1:5" hidden="1"/>
    <row r="58" spans="1:5">
      <c r="A58" s="337" t="s">
        <v>73</v>
      </c>
      <c r="B58" s="338" t="s">
        <v>74</v>
      </c>
      <c r="D58" s="270" t="s">
        <v>75</v>
      </c>
      <c r="E58" s="298">
        <f>VLOOKUP(B9,A59:B74,2,FALSE)</f>
        <v>36</v>
      </c>
    </row>
    <row r="59" spans="1:5">
      <c r="A59" s="338">
        <v>1</v>
      </c>
      <c r="B59" s="338">
        <v>1</v>
      </c>
    </row>
    <row r="60" spans="1:5">
      <c r="A60" s="338">
        <v>2</v>
      </c>
      <c r="B60" s="338">
        <f t="shared" ref="B60:B74" si="3">+B59+A60</f>
        <v>3</v>
      </c>
    </row>
    <row r="61" spans="1:5">
      <c r="A61" s="338">
        <v>3</v>
      </c>
      <c r="B61" s="338">
        <f t="shared" si="3"/>
        <v>6</v>
      </c>
    </row>
    <row r="62" spans="1:5">
      <c r="A62" s="338">
        <v>4</v>
      </c>
      <c r="B62" s="338">
        <f t="shared" si="3"/>
        <v>10</v>
      </c>
    </row>
    <row r="63" spans="1:5">
      <c r="A63" s="338">
        <v>5</v>
      </c>
      <c r="B63" s="338">
        <f t="shared" si="3"/>
        <v>15</v>
      </c>
    </row>
    <row r="64" spans="1:5">
      <c r="A64" s="338">
        <v>6</v>
      </c>
      <c r="B64" s="338">
        <f t="shared" si="3"/>
        <v>21</v>
      </c>
    </row>
    <row r="65" spans="1:2">
      <c r="A65" s="338">
        <v>7</v>
      </c>
      <c r="B65" s="338">
        <f t="shared" si="3"/>
        <v>28</v>
      </c>
    </row>
    <row r="66" spans="1:2">
      <c r="A66" s="338">
        <v>8</v>
      </c>
      <c r="B66" s="338">
        <f t="shared" si="3"/>
        <v>36</v>
      </c>
    </row>
    <row r="67" spans="1:2">
      <c r="A67" s="338">
        <v>9</v>
      </c>
      <c r="B67" s="338">
        <f t="shared" si="3"/>
        <v>45</v>
      </c>
    </row>
    <row r="68" spans="1:2">
      <c r="A68" s="338">
        <v>10</v>
      </c>
      <c r="B68" s="338">
        <f t="shared" si="3"/>
        <v>55</v>
      </c>
    </row>
    <row r="69" spans="1:2">
      <c r="A69" s="338">
        <v>11</v>
      </c>
      <c r="B69" s="338">
        <f t="shared" si="3"/>
        <v>66</v>
      </c>
    </row>
    <row r="70" spans="1:2">
      <c r="A70" s="338">
        <v>12</v>
      </c>
      <c r="B70" s="338">
        <f t="shared" si="3"/>
        <v>78</v>
      </c>
    </row>
    <row r="71" spans="1:2">
      <c r="A71" s="338">
        <v>13</v>
      </c>
      <c r="B71" s="338">
        <f t="shared" si="3"/>
        <v>91</v>
      </c>
    </row>
    <row r="72" spans="1:2">
      <c r="A72" s="338">
        <v>14</v>
      </c>
      <c r="B72" s="338">
        <f t="shared" si="3"/>
        <v>105</v>
      </c>
    </row>
    <row r="73" spans="1:2">
      <c r="A73" s="338">
        <v>15</v>
      </c>
      <c r="B73" s="338">
        <f t="shared" si="3"/>
        <v>120</v>
      </c>
    </row>
    <row r="74" spans="1:2">
      <c r="A74" s="338">
        <v>16</v>
      </c>
      <c r="B74" s="338">
        <f t="shared" si="3"/>
        <v>136</v>
      </c>
    </row>
  </sheetData>
  <sheetProtection algorithmName="SHA-512" hashValue="Q4q2BmhP5u3Pn5SDpoDz2J/ArznH75Pjq8Erze1m/yqwONPZV1PpRJ0j3vSULRMVy/Ylv6n+emVMfcST5GsWfw==" saltValue="dJey6yR0ls7rlh9WD6/6fQ==" spinCount="100000" sheet="1" objects="1" scenarios="1" selectLockedCells="1" selectUnlockedCells="1"/>
  <mergeCells count="1">
    <mergeCell ref="D12:E12"/>
  </mergeCells>
  <phoneticPr fontId="6" type="noConversion"/>
  <pageMargins left="0.78740157499999996" right="0.78740157499999996" top="0.984251969" bottom="0.984251969" header="0.49212598499999999" footer="0.49212598499999999"/>
  <pageSetup paperSize="9" orientation="portrait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2"/>
  <dimension ref="A1:U39"/>
  <sheetViews>
    <sheetView showGridLines="0" zoomScale="110" zoomScaleNormal="110" workbookViewId="0">
      <selection activeCell="I19" sqref="I19"/>
    </sheetView>
  </sheetViews>
  <sheetFormatPr defaultColWidth="7.140625" defaultRowHeight="12.75"/>
  <cols>
    <col min="1" max="1" width="19.5703125" style="3" bestFit="1" customWidth="1"/>
    <col min="2" max="16" width="10.85546875" style="3" customWidth="1"/>
    <col min="17" max="17" width="10.85546875" style="3" bestFit="1" customWidth="1"/>
    <col min="18" max="20" width="9.85546875" style="3" bestFit="1" customWidth="1"/>
    <col min="21" max="21" width="13.5703125" style="3" customWidth="1"/>
    <col min="22" max="16384" width="7.140625" style="3"/>
  </cols>
  <sheetData>
    <row r="1" spans="1:21">
      <c r="A1" s="424"/>
      <c r="B1" s="424"/>
      <c r="C1" s="424"/>
      <c r="D1" s="424"/>
    </row>
    <row r="3" spans="1:21">
      <c r="C3" s="37"/>
    </row>
    <row r="4" spans="1:21">
      <c r="A4" s="424" t="s">
        <v>213</v>
      </c>
      <c r="B4" s="424"/>
      <c r="C4" s="424"/>
      <c r="D4" s="424"/>
    </row>
    <row r="5" spans="1:21">
      <c r="A5" s="2"/>
      <c r="C5" s="37"/>
    </row>
    <row r="6" spans="1:21">
      <c r="B6" s="24" t="s">
        <v>28</v>
      </c>
      <c r="C6" s="24" t="s">
        <v>1</v>
      </c>
      <c r="D6" s="24" t="s">
        <v>2</v>
      </c>
      <c r="E6" s="24" t="s">
        <v>3</v>
      </c>
      <c r="F6" s="24" t="s">
        <v>4</v>
      </c>
      <c r="G6" s="24" t="s">
        <v>5</v>
      </c>
      <c r="H6" s="24" t="s">
        <v>14</v>
      </c>
      <c r="I6" s="24" t="s">
        <v>15</v>
      </c>
      <c r="J6" s="24" t="s">
        <v>16</v>
      </c>
      <c r="K6" s="24" t="s">
        <v>17</v>
      </c>
      <c r="L6" s="24" t="s">
        <v>18</v>
      </c>
      <c r="M6" s="24" t="s">
        <v>56</v>
      </c>
      <c r="N6" s="24" t="s">
        <v>57</v>
      </c>
      <c r="O6" s="24" t="s">
        <v>58</v>
      </c>
      <c r="P6" s="24" t="s">
        <v>59</v>
      </c>
      <c r="Q6" s="24" t="s">
        <v>60</v>
      </c>
      <c r="R6" s="24" t="s">
        <v>221</v>
      </c>
      <c r="S6" s="24" t="s">
        <v>222</v>
      </c>
      <c r="T6" s="24" t="s">
        <v>223</v>
      </c>
      <c r="U6" s="24" t="s">
        <v>224</v>
      </c>
    </row>
    <row r="7" spans="1:21">
      <c r="A7" s="38" t="s">
        <v>232</v>
      </c>
      <c r="B7" s="23">
        <f>SUMPRODUCT('Q8.a-Preço-Veíc. Op.'!$B$13:$B$27,'Q7. Convencional'!C4:C18)</f>
        <v>7240447.6804069728</v>
      </c>
      <c r="C7" s="23">
        <f>'Q8.a-Preço-Veíc. Op.'!$B$13*'Q7. Convencional'!D42</f>
        <v>1897060.5276175474</v>
      </c>
      <c r="D7" s="23">
        <f>'Q8.a-Preço-Veíc. Op.'!$B$13*'Q7. Convencional'!E42</f>
        <v>1897060.5276175474</v>
      </c>
      <c r="E7" s="23">
        <f>'Q8.a-Preço-Veíc. Op.'!$B$13*'Q7. Convencional'!F42</f>
        <v>1897060.5276175474</v>
      </c>
      <c r="F7" s="23">
        <f>'Q8.a-Preço-Veíc. Op.'!$B$13*'Q7. Convencional'!G42</f>
        <v>1897060.5276175474</v>
      </c>
      <c r="G7" s="23">
        <f>'Q8.a-Preço-Veíc. Op.'!$B$13*'Q7. Convencional'!H42</f>
        <v>2529414.0368233966</v>
      </c>
      <c r="H7" s="23">
        <f>'Q8.a-Preço-Veíc. Op.'!$B$13*'Q7. Convencional'!I42</f>
        <v>1897060.5276175474</v>
      </c>
      <c r="I7" s="23">
        <f>'Q8.a-Preço-Veíc. Op.'!$B$13*'Q7. Convencional'!J42</f>
        <v>1897060.5276175474</v>
      </c>
      <c r="J7" s="23">
        <f>'Q8.a-Preço-Veíc. Op.'!$B$13*'Q7. Convencional'!K42</f>
        <v>1897060.5276175474</v>
      </c>
      <c r="K7" s="23">
        <f>'Q8.a-Preço-Veíc. Op.'!$B$13*'Q7. Convencional'!L42</f>
        <v>1897060.5276175474</v>
      </c>
      <c r="L7" s="23">
        <f>'Q8.a-Preço-Veíc. Op.'!$B$13*'Q7. Convencional'!M42</f>
        <v>1264707.0184116983</v>
      </c>
      <c r="M7" s="23">
        <f>'Q8.a-Preço-Veíc. Op.'!$B$13*'Q7. Convencional'!N42</f>
        <v>1897060.5276175474</v>
      </c>
      <c r="N7" s="23">
        <f>'Q8.a-Preço-Veíc. Op.'!$B$13*'Q7. Convencional'!O42</f>
        <v>1897060.5276175474</v>
      </c>
      <c r="O7" s="23">
        <f>'Q8.a-Preço-Veíc. Op.'!$B$13*'Q7. Convencional'!P42</f>
        <v>1897060.5276175474</v>
      </c>
      <c r="P7" s="23">
        <f>'Q8.a-Preço-Veíc. Op.'!$B$13*'Q7. Convencional'!Q42</f>
        <v>1897060.5276175474</v>
      </c>
      <c r="Q7" s="23">
        <f>'Q8.a-Preço-Veíc. Op.'!$B$13*'Q7. Convencional'!R42</f>
        <v>2529414.0368233966</v>
      </c>
      <c r="R7" s="23">
        <f>'Q8.a-Preço-Veíc. Op.'!$B$13*'Q7. Convencional'!S42</f>
        <v>1897060.5276175474</v>
      </c>
      <c r="S7" s="23">
        <f>'Q8.a-Preço-Veíc. Op.'!$B$13*'Q7. Convencional'!T42</f>
        <v>1897060.5276175474</v>
      </c>
      <c r="T7" s="23">
        <f>'Q8.a-Preço-Veíc. Op.'!$B$13*'Q7. Convencional'!U42</f>
        <v>1897060.5276175474</v>
      </c>
      <c r="U7" s="23">
        <f>'Q8.a-Preço-Veíc. Op.'!$B$13*'Q7. Convencional'!V42</f>
        <v>1897060.5276175474</v>
      </c>
    </row>
    <row r="8" spans="1:21">
      <c r="A8" s="39" t="s">
        <v>13</v>
      </c>
      <c r="B8" s="39">
        <f>B7</f>
        <v>7240447.6804069728</v>
      </c>
      <c r="C8" s="39">
        <f t="shared" ref="C8:U8" si="0">C7</f>
        <v>1897060.5276175474</v>
      </c>
      <c r="D8" s="39">
        <f t="shared" si="0"/>
        <v>1897060.5276175474</v>
      </c>
      <c r="E8" s="39">
        <f t="shared" si="0"/>
        <v>1897060.5276175474</v>
      </c>
      <c r="F8" s="39">
        <f t="shared" si="0"/>
        <v>1897060.5276175474</v>
      </c>
      <c r="G8" s="39">
        <f t="shared" si="0"/>
        <v>2529414.0368233966</v>
      </c>
      <c r="H8" s="39">
        <f t="shared" si="0"/>
        <v>1897060.5276175474</v>
      </c>
      <c r="I8" s="39">
        <f t="shared" si="0"/>
        <v>1897060.5276175474</v>
      </c>
      <c r="J8" s="39">
        <f t="shared" si="0"/>
        <v>1897060.5276175474</v>
      </c>
      <c r="K8" s="39">
        <f t="shared" si="0"/>
        <v>1897060.5276175474</v>
      </c>
      <c r="L8" s="39">
        <f t="shared" si="0"/>
        <v>1264707.0184116983</v>
      </c>
      <c r="M8" s="39">
        <f t="shared" si="0"/>
        <v>1897060.5276175474</v>
      </c>
      <c r="N8" s="39">
        <f t="shared" si="0"/>
        <v>1897060.5276175474</v>
      </c>
      <c r="O8" s="39">
        <f t="shared" si="0"/>
        <v>1897060.5276175474</v>
      </c>
      <c r="P8" s="39">
        <f t="shared" si="0"/>
        <v>1897060.5276175474</v>
      </c>
      <c r="Q8" s="39">
        <f t="shared" si="0"/>
        <v>2529414.0368233966</v>
      </c>
      <c r="R8" s="39">
        <f t="shared" si="0"/>
        <v>1897060.5276175474</v>
      </c>
      <c r="S8" s="39">
        <f t="shared" si="0"/>
        <v>1897060.5276175474</v>
      </c>
      <c r="T8" s="39">
        <f t="shared" si="0"/>
        <v>1897060.5276175474</v>
      </c>
      <c r="U8" s="39">
        <f t="shared" si="0"/>
        <v>1897060.5276175474</v>
      </c>
    </row>
    <row r="9" spans="1:21">
      <c r="B9" s="22"/>
    </row>
    <row r="10" spans="1:21">
      <c r="B10" s="22"/>
    </row>
    <row r="11" spans="1:21">
      <c r="B11" s="21"/>
    </row>
    <row r="15" spans="1:21" hidden="1"/>
    <row r="16" spans="1:21" hidden="1"/>
    <row r="17" spans="2:2" hidden="1"/>
    <row r="24" spans="2:2">
      <c r="B24" s="21"/>
    </row>
    <row r="25" spans="2:2">
      <c r="B25" s="21"/>
    </row>
    <row r="26" spans="2:2">
      <c r="B26" s="21"/>
    </row>
    <row r="27" spans="2:2">
      <c r="B27" s="21"/>
    </row>
    <row r="28" spans="2:2">
      <c r="B28" s="21"/>
    </row>
    <row r="29" spans="2:2">
      <c r="B29" s="21"/>
    </row>
    <row r="30" spans="2:2">
      <c r="B30" s="21"/>
    </row>
    <row r="31" spans="2:2">
      <c r="B31" s="21"/>
    </row>
    <row r="32" spans="2:2">
      <c r="B32" s="21"/>
    </row>
    <row r="33" spans="2:2">
      <c r="B33" s="21"/>
    </row>
    <row r="34" spans="2:2">
      <c r="B34" s="21"/>
    </row>
    <row r="35" spans="2:2">
      <c r="B35" s="21"/>
    </row>
    <row r="36" spans="2:2">
      <c r="B36" s="21"/>
    </row>
    <row r="38" spans="2:2">
      <c r="B38" s="21"/>
    </row>
    <row r="39" spans="2:2">
      <c r="B39" s="21"/>
    </row>
  </sheetData>
  <sheetProtection algorithmName="SHA-512" hashValue="XjYLRPDW09nGmGB54a8YCTqs1Gt9tw3K0egKFFaVmsaUmNg17fhvuFPwOYxQbuzID3qmcsA0GY90hoCU2EhxSg==" saltValue="2ODZrhXfCEnRcpCY2SjdQg==" spinCount="100000" sheet="1" objects="1" scenarios="1" selectLockedCells="1" selectUnlockedCells="1"/>
  <mergeCells count="2">
    <mergeCell ref="A1:D1"/>
    <mergeCell ref="A4:D4"/>
  </mergeCells>
  <phoneticPr fontId="6" type="noConversion"/>
  <conditionalFormatting sqref="B6:K6">
    <cfRule type="cellIs" dxfId="23" priority="20" stopIfTrue="1" operator="lessThan">
      <formula>0</formula>
    </cfRule>
  </conditionalFormatting>
  <conditionalFormatting sqref="L6">
    <cfRule type="cellIs" dxfId="22" priority="13" stopIfTrue="1" operator="lessThan">
      <formula>0</formula>
    </cfRule>
  </conditionalFormatting>
  <conditionalFormatting sqref="M6">
    <cfRule type="cellIs" dxfId="21" priority="12" stopIfTrue="1" operator="lessThan">
      <formula>0</formula>
    </cfRule>
  </conditionalFormatting>
  <conditionalFormatting sqref="N6">
    <cfRule type="cellIs" dxfId="20" priority="11" stopIfTrue="1" operator="lessThan">
      <formula>0</formula>
    </cfRule>
  </conditionalFormatting>
  <conditionalFormatting sqref="O6">
    <cfRule type="cellIs" dxfId="19" priority="10" stopIfTrue="1" operator="lessThan">
      <formula>0</formula>
    </cfRule>
  </conditionalFormatting>
  <conditionalFormatting sqref="P6:U6">
    <cfRule type="cellIs" dxfId="18" priority="9" stopIfTrue="1" operator="lessThan">
      <formula>0</formula>
    </cfRule>
  </conditionalFormatting>
  <pageMargins left="0.78740157499999996" right="0.78740157499999996" top="0.984251969" bottom="0.984251969" header="0.49212598499999999" footer="0.49212598499999999"/>
  <pageSetup paperSize="9" orientation="portrait" horizontalDpi="4294967292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3"/>
  <dimension ref="A1:U46"/>
  <sheetViews>
    <sheetView showGridLines="0" zoomScaleNormal="100" workbookViewId="0">
      <selection activeCell="L19" sqref="L18:L19"/>
    </sheetView>
  </sheetViews>
  <sheetFormatPr defaultColWidth="7.140625" defaultRowHeight="12.75"/>
  <cols>
    <col min="1" max="1" width="19.5703125" style="3" bestFit="1" customWidth="1"/>
    <col min="2" max="2" width="10.28515625" style="3" bestFit="1" customWidth="1"/>
    <col min="3" max="10" width="9.85546875" style="3" customWidth="1"/>
    <col min="11" max="11" width="10.85546875" style="3" bestFit="1" customWidth="1"/>
    <col min="12" max="20" width="9.85546875" style="3" customWidth="1"/>
    <col min="21" max="21" width="10.85546875" style="3" bestFit="1" customWidth="1"/>
    <col min="22" max="16384" width="7.140625" style="3"/>
  </cols>
  <sheetData>
    <row r="1" spans="1:21">
      <c r="A1" s="424"/>
      <c r="B1" s="424"/>
      <c r="C1" s="424"/>
      <c r="D1" s="424"/>
    </row>
    <row r="3" spans="1:21">
      <c r="A3" s="2" t="s">
        <v>188</v>
      </c>
    </row>
    <row r="5" spans="1:21">
      <c r="A5" s="2"/>
    </row>
    <row r="6" spans="1:21">
      <c r="B6" s="24" t="s">
        <v>1</v>
      </c>
      <c r="C6" s="24" t="s">
        <v>2</v>
      </c>
      <c r="D6" s="24" t="s">
        <v>3</v>
      </c>
      <c r="E6" s="24" t="s">
        <v>4</v>
      </c>
      <c r="F6" s="24" t="s">
        <v>5</v>
      </c>
      <c r="G6" s="24" t="s">
        <v>14</v>
      </c>
      <c r="H6" s="24" t="s">
        <v>15</v>
      </c>
      <c r="I6" s="24" t="s">
        <v>16</v>
      </c>
      <c r="J6" s="24" t="s">
        <v>17</v>
      </c>
      <c r="K6" s="24" t="s">
        <v>18</v>
      </c>
      <c r="L6" s="24" t="s">
        <v>56</v>
      </c>
      <c r="M6" s="24" t="s">
        <v>57</v>
      </c>
      <c r="N6" s="24" t="s">
        <v>58</v>
      </c>
      <c r="O6" s="24" t="s">
        <v>59</v>
      </c>
      <c r="P6" s="24" t="s">
        <v>60</v>
      </c>
      <c r="Q6" s="24" t="s">
        <v>221</v>
      </c>
      <c r="R6" s="24" t="s">
        <v>222</v>
      </c>
      <c r="S6" s="24" t="s">
        <v>223</v>
      </c>
      <c r="T6" s="24" t="s">
        <v>224</v>
      </c>
      <c r="U6" s="24" t="s">
        <v>106</v>
      </c>
    </row>
    <row r="7" spans="1:21">
      <c r="A7" s="38" t="s">
        <v>232</v>
      </c>
      <c r="B7" s="23">
        <f>SUMPRODUCT('Q8.a-Preço-Veíc. Op.'!$B$13:$B$27,'Q7. Convencional'!D23:D37)</f>
        <v>189706.05276175469</v>
      </c>
      <c r="C7" s="23">
        <f>SUMPRODUCT('Q8.a-Preço-Veíc. Op.'!$B$13:$B$27,'Q7. Convencional'!E23:E37)</f>
        <v>189706.05276175469</v>
      </c>
      <c r="D7" s="23">
        <f>SUMPRODUCT('Q8.a-Preço-Veíc. Op.'!$B$13:$B$27,'Q7. Convencional'!F23:F37)</f>
        <v>189706.05276175469</v>
      </c>
      <c r="E7" s="23">
        <f>SUMPRODUCT('Q8.a-Preço-Veíc. Op.'!$B$13:$B$27,'Q7. Convencional'!G23:G37)</f>
        <v>189706.05276175469</v>
      </c>
      <c r="F7" s="23">
        <f>SUMPRODUCT('Q8.a-Preço-Veíc. Op.'!$B$13:$B$27,'Q7. Convencional'!H23:H37)</f>
        <v>252941.40368233959</v>
      </c>
      <c r="G7" s="23">
        <f>SUMPRODUCT('Q8.a-Preço-Veíc. Op.'!$B$13:$B$27,'Q7. Convencional'!I23:I37)</f>
        <v>189706.05276175469</v>
      </c>
      <c r="H7" s="23">
        <f>SUMPRODUCT('Q8.a-Preço-Veíc. Op.'!$B$13:$B$27,'Q7. Convencional'!J23:J37)</f>
        <v>189706.05276175469</v>
      </c>
      <c r="I7" s="23">
        <f>SUMPRODUCT('Q8.a-Preço-Veíc. Op.'!$B$13:$B$27,'Q7. Convencional'!K23:K37)</f>
        <v>189706.05276175469</v>
      </c>
      <c r="J7" s="23">
        <f>SUMPRODUCT('Q8.a-Preço-Veíc. Op.'!$B$13:$B$27,'Q7. Convencional'!L23:L37)</f>
        <v>189706.05276175469</v>
      </c>
      <c r="K7" s="23">
        <f>SUMPRODUCT('Q8.a-Preço-Veíc. Op.'!$B$13:$B$27,'Q7. Convencional'!M23:M37)</f>
        <v>126470.70184116979</v>
      </c>
      <c r="L7" s="23">
        <f>SUMPRODUCT('Q8.a-Preço-Veíc. Op.'!$B$13:$B$27,'Q7. Convencional'!N23:N37)</f>
        <v>189706.05276175469</v>
      </c>
      <c r="M7" s="23">
        <f>SUMPRODUCT('Q8.a-Preço-Veíc. Op.'!$B$13:$B$27,'Q7. Convencional'!O23:O37)</f>
        <v>189706.05276175469</v>
      </c>
      <c r="N7" s="23">
        <f>SUMPRODUCT('Q8.a-Preço-Veíc. Op.'!$B$13:$B$27,'Q7. Convencional'!P23:P37)</f>
        <v>189706.05276175469</v>
      </c>
      <c r="O7" s="23">
        <f>SUMPRODUCT('Q8.a-Preço-Veíc. Op.'!$B$13:$B$27,'Q7. Convencional'!Q23:Q37)</f>
        <v>189706.05276175469</v>
      </c>
      <c r="P7" s="23">
        <f>SUMPRODUCT('Q8.a-Preço-Veíc. Op.'!$B$13:$B$27,'Q7. Convencional'!R23:R37)</f>
        <v>252941.40368233959</v>
      </c>
      <c r="Q7" s="23">
        <f>SUMPRODUCT('Q8.a-Preço-Veíc. Op.'!$B$13:$B$27,'Q7. Convencional'!S23:S37)</f>
        <v>189706.05276175469</v>
      </c>
      <c r="R7" s="23">
        <f>SUMPRODUCT('Q8.a-Preço-Veíc. Op.'!$B$13:$B$27,'Q7. Convencional'!T23:T37)</f>
        <v>189706.05276175469</v>
      </c>
      <c r="S7" s="23">
        <f>SUMPRODUCT('Q8.a-Preço-Veíc. Op.'!$B$13:$B$27,'Q7. Convencional'!U23:U37)</f>
        <v>189706.05276175469</v>
      </c>
      <c r="T7" s="23">
        <f>SUMPRODUCT('Q8.a-Preço-Veíc. Op.'!$B$13:$B$27,'Q7. Convencional'!V23:V37)</f>
        <v>189706.05276175469</v>
      </c>
      <c r="U7" s="23">
        <f>SUMPRODUCT('Q8.a-Preço-Veíc. Op.'!$B$13:$B$27,'Q7. Convencional'!W23:W37)</f>
        <v>6102211.363836444</v>
      </c>
    </row>
    <row r="8" spans="1:21">
      <c r="A8" s="39" t="s">
        <v>68</v>
      </c>
      <c r="B8" s="39">
        <f>B7</f>
        <v>189706.05276175469</v>
      </c>
      <c r="C8" s="39">
        <f t="shared" ref="C8:U8" si="0">C7</f>
        <v>189706.05276175469</v>
      </c>
      <c r="D8" s="39">
        <f t="shared" si="0"/>
        <v>189706.05276175469</v>
      </c>
      <c r="E8" s="39">
        <f t="shared" si="0"/>
        <v>189706.05276175469</v>
      </c>
      <c r="F8" s="39">
        <f t="shared" si="0"/>
        <v>252941.40368233959</v>
      </c>
      <c r="G8" s="39">
        <f t="shared" si="0"/>
        <v>189706.05276175469</v>
      </c>
      <c r="H8" s="39">
        <f t="shared" si="0"/>
        <v>189706.05276175469</v>
      </c>
      <c r="I8" s="39">
        <f t="shared" si="0"/>
        <v>189706.05276175469</v>
      </c>
      <c r="J8" s="39">
        <f t="shared" si="0"/>
        <v>189706.05276175469</v>
      </c>
      <c r="K8" s="39">
        <f t="shared" si="0"/>
        <v>126470.70184116979</v>
      </c>
      <c r="L8" s="39">
        <f t="shared" si="0"/>
        <v>189706.05276175469</v>
      </c>
      <c r="M8" s="39">
        <f t="shared" si="0"/>
        <v>189706.05276175469</v>
      </c>
      <c r="N8" s="39">
        <f t="shared" si="0"/>
        <v>189706.05276175469</v>
      </c>
      <c r="O8" s="39">
        <f t="shared" si="0"/>
        <v>189706.05276175469</v>
      </c>
      <c r="P8" s="39">
        <f t="shared" si="0"/>
        <v>252941.40368233959</v>
      </c>
      <c r="Q8" s="39">
        <f t="shared" si="0"/>
        <v>189706.05276175469</v>
      </c>
      <c r="R8" s="39">
        <f t="shared" si="0"/>
        <v>189706.05276175469</v>
      </c>
      <c r="S8" s="39">
        <f t="shared" si="0"/>
        <v>189706.05276175469</v>
      </c>
      <c r="T8" s="39">
        <f t="shared" si="0"/>
        <v>189706.05276175469</v>
      </c>
      <c r="U8" s="39">
        <f t="shared" si="0"/>
        <v>6102211.363836444</v>
      </c>
    </row>
    <row r="15" spans="1:21" hidden="1"/>
    <row r="16" spans="1:21" hidden="1"/>
    <row r="17" hidden="1"/>
    <row r="44" spans="2:21">
      <c r="B44" s="21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</row>
    <row r="46" spans="2:21">
      <c r="B46" s="21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</row>
  </sheetData>
  <sheetProtection algorithmName="SHA-512" hashValue="zUiL7c5+NW14mzz3oghQEJ0fq8I/XNGmUBBQFz4/rwChJpWXqyKhM9LtXxUB7kRN1rwBLMkxzyIUOsqyRxDCFg==" saltValue="XeyVq0nnQzaXubaQ9Sj15w==" spinCount="100000" sheet="1" objects="1" scenarios="1" selectLockedCells="1" selectUnlockedCells="1"/>
  <mergeCells count="1">
    <mergeCell ref="A1:D1"/>
  </mergeCells>
  <phoneticPr fontId="6" type="noConversion"/>
  <conditionalFormatting sqref="B6:I6">
    <cfRule type="cellIs" dxfId="17" priority="46" stopIfTrue="1" operator="lessThan">
      <formula>0</formula>
    </cfRule>
  </conditionalFormatting>
  <conditionalFormatting sqref="J6:T6">
    <cfRule type="cellIs" dxfId="16" priority="45" stopIfTrue="1" operator="lessThan">
      <formula>0</formula>
    </cfRule>
  </conditionalFormatting>
  <conditionalFormatting sqref="U6">
    <cfRule type="cellIs" dxfId="15" priority="7" stopIfTrue="1" operator="lessThan">
      <formula>0</formula>
    </cfRule>
  </conditionalFormatting>
  <pageMargins left="0.78740157499999996" right="0.78740157499999996" top="0.984251969" bottom="0.984251969" header="0.49212598499999999" footer="0.49212598499999999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8"/>
  <dimension ref="A1:X28"/>
  <sheetViews>
    <sheetView showGridLines="0" topLeftCell="A9" zoomScale="115" zoomScaleNormal="115" workbookViewId="0">
      <selection activeCell="T34" sqref="T34"/>
    </sheetView>
  </sheetViews>
  <sheetFormatPr defaultColWidth="7.140625" defaultRowHeight="12.75"/>
  <cols>
    <col min="1" max="1" width="9.28515625" style="13" bestFit="1" customWidth="1"/>
    <col min="2" max="2" width="11.42578125" style="13" customWidth="1"/>
    <col min="3" max="23" width="6.85546875" style="13" customWidth="1"/>
    <col min="24" max="24" width="7.140625" style="13" customWidth="1"/>
    <col min="25" max="16384" width="7.140625" style="13"/>
  </cols>
  <sheetData>
    <row r="1" spans="1:24" s="3" customFormat="1" ht="18" customHeight="1">
      <c r="A1" s="2"/>
      <c r="B1" s="420" t="s">
        <v>239</v>
      </c>
      <c r="C1" s="420"/>
      <c r="D1" s="420"/>
      <c r="E1" s="420"/>
      <c r="F1" s="420"/>
      <c r="G1" s="420"/>
      <c r="H1" s="420"/>
      <c r="I1" s="420"/>
      <c r="J1" s="420"/>
      <c r="K1" s="420"/>
      <c r="L1" s="420"/>
      <c r="M1" s="420"/>
      <c r="N1" s="420"/>
      <c r="O1" s="420"/>
      <c r="P1" s="420"/>
      <c r="Q1" s="420"/>
      <c r="R1" s="420"/>
      <c r="S1" s="420"/>
      <c r="T1" s="420"/>
      <c r="U1" s="420"/>
      <c r="V1" s="420"/>
      <c r="W1" s="420"/>
    </row>
    <row r="2" spans="1:24" ht="12.75" customHeight="1">
      <c r="B2" s="421" t="s">
        <v>21</v>
      </c>
      <c r="C2" s="419" t="s">
        <v>187</v>
      </c>
      <c r="D2" s="419"/>
      <c r="E2" s="419"/>
      <c r="F2" s="419"/>
      <c r="G2" s="419"/>
      <c r="H2" s="419"/>
      <c r="I2" s="419"/>
      <c r="J2" s="419"/>
      <c r="K2" s="419"/>
      <c r="L2" s="419"/>
      <c r="M2" s="419"/>
      <c r="N2" s="419"/>
      <c r="O2" s="419"/>
      <c r="P2" s="419"/>
      <c r="Q2" s="419"/>
      <c r="R2" s="419"/>
      <c r="S2" s="419"/>
      <c r="T2" s="419"/>
      <c r="U2" s="419"/>
      <c r="V2" s="419"/>
      <c r="W2" s="419"/>
    </row>
    <row r="3" spans="1:24">
      <c r="B3" s="421"/>
      <c r="C3" s="4" t="s">
        <v>1</v>
      </c>
      <c r="D3" s="4" t="s">
        <v>2</v>
      </c>
      <c r="E3" s="4" t="s">
        <v>3</v>
      </c>
      <c r="F3" s="4" t="s">
        <v>4</v>
      </c>
      <c r="G3" s="4" t="s">
        <v>5</v>
      </c>
      <c r="H3" s="4" t="s">
        <v>14</v>
      </c>
      <c r="I3" s="4" t="s">
        <v>15</v>
      </c>
      <c r="J3" s="4" t="s">
        <v>16</v>
      </c>
      <c r="K3" s="4" t="s">
        <v>17</v>
      </c>
      <c r="L3" s="4" t="s">
        <v>18</v>
      </c>
      <c r="M3" s="4" t="s">
        <v>56</v>
      </c>
      <c r="N3" s="4" t="s">
        <v>57</v>
      </c>
      <c r="O3" s="4" t="s">
        <v>58</v>
      </c>
      <c r="P3" s="4" t="s">
        <v>59</v>
      </c>
      <c r="Q3" s="4" t="s">
        <v>60</v>
      </c>
      <c r="R3" s="4" t="s">
        <v>221</v>
      </c>
      <c r="S3" s="4" t="s">
        <v>222</v>
      </c>
      <c r="T3" s="4" t="s">
        <v>223</v>
      </c>
      <c r="U3" s="4" t="s">
        <v>224</v>
      </c>
      <c r="V3" s="4" t="s">
        <v>225</v>
      </c>
      <c r="W3" s="4" t="s">
        <v>51</v>
      </c>
    </row>
    <row r="4" spans="1:24">
      <c r="B4" s="33">
        <v>0</v>
      </c>
      <c r="C4" s="36">
        <v>1</v>
      </c>
      <c r="D4" s="36"/>
      <c r="E4" s="36"/>
      <c r="F4" s="36"/>
      <c r="G4" s="36"/>
      <c r="H4" s="36">
        <v>1</v>
      </c>
      <c r="I4" s="36"/>
      <c r="J4" s="36"/>
      <c r="K4" s="36"/>
      <c r="L4" s="36"/>
      <c r="M4" s="36">
        <v>1</v>
      </c>
      <c r="N4" s="36"/>
      <c r="O4" s="36"/>
      <c r="P4" s="36"/>
      <c r="Q4" s="36"/>
      <c r="R4" s="36">
        <v>1</v>
      </c>
      <c r="S4" s="36"/>
      <c r="T4" s="36"/>
      <c r="U4" s="36"/>
      <c r="V4" s="36"/>
      <c r="W4" s="36"/>
    </row>
    <row r="5" spans="1:24">
      <c r="B5" s="33">
        <v>1</v>
      </c>
      <c r="C5" s="36"/>
      <c r="D5" s="36">
        <v>1</v>
      </c>
      <c r="E5" s="36"/>
      <c r="F5" s="36"/>
      <c r="G5" s="36"/>
      <c r="H5" s="36"/>
      <c r="I5" s="36">
        <v>1</v>
      </c>
      <c r="J5" s="36"/>
      <c r="K5" s="36"/>
      <c r="L5" s="36"/>
      <c r="M5" s="36"/>
      <c r="N5" s="36">
        <v>1</v>
      </c>
      <c r="O5" s="36"/>
      <c r="P5" s="36"/>
      <c r="Q5" s="36"/>
      <c r="R5" s="36"/>
      <c r="S5" s="36">
        <v>1</v>
      </c>
      <c r="T5" s="36"/>
      <c r="U5" s="36"/>
      <c r="V5" s="36"/>
      <c r="W5" s="36"/>
      <c r="X5" s="28"/>
    </row>
    <row r="6" spans="1:24">
      <c r="B6" s="33">
        <v>2</v>
      </c>
      <c r="C6" s="36"/>
      <c r="D6" s="36"/>
      <c r="E6" s="36">
        <v>1</v>
      </c>
      <c r="F6" s="36"/>
      <c r="G6" s="36"/>
      <c r="H6" s="36"/>
      <c r="I6" s="36"/>
      <c r="J6" s="36">
        <v>1</v>
      </c>
      <c r="K6" s="36"/>
      <c r="L6" s="36"/>
      <c r="M6" s="36"/>
      <c r="N6" s="36"/>
      <c r="O6" s="36">
        <v>1</v>
      </c>
      <c r="P6" s="36"/>
      <c r="Q6" s="36"/>
      <c r="R6" s="36"/>
      <c r="S6" s="36"/>
      <c r="T6" s="36">
        <v>1</v>
      </c>
      <c r="U6" s="36"/>
      <c r="V6" s="36"/>
      <c r="W6" s="36"/>
    </row>
    <row r="7" spans="1:24">
      <c r="B7" s="33">
        <v>3</v>
      </c>
      <c r="C7" s="36"/>
      <c r="D7" s="36"/>
      <c r="E7" s="36"/>
      <c r="F7" s="36">
        <v>1</v>
      </c>
      <c r="G7" s="36"/>
      <c r="H7" s="36"/>
      <c r="I7" s="36"/>
      <c r="J7" s="36"/>
      <c r="K7" s="36">
        <v>1</v>
      </c>
      <c r="L7" s="36"/>
      <c r="M7" s="36"/>
      <c r="N7" s="36"/>
      <c r="O7" s="36"/>
      <c r="P7" s="36">
        <v>1</v>
      </c>
      <c r="Q7" s="36"/>
      <c r="R7" s="36"/>
      <c r="S7" s="36"/>
      <c r="T7" s="36"/>
      <c r="U7" s="36">
        <v>1</v>
      </c>
      <c r="V7" s="36"/>
      <c r="W7" s="36"/>
    </row>
    <row r="8" spans="1:24">
      <c r="B8" s="33">
        <v>4</v>
      </c>
      <c r="C8" s="36"/>
      <c r="D8" s="36"/>
      <c r="E8" s="36"/>
      <c r="F8" s="36"/>
      <c r="G8" s="36">
        <v>1</v>
      </c>
      <c r="H8" s="36"/>
      <c r="I8" s="36"/>
      <c r="J8" s="36"/>
      <c r="K8" s="36"/>
      <c r="L8" s="36">
        <v>1</v>
      </c>
      <c r="M8" s="36"/>
      <c r="N8" s="36"/>
      <c r="O8" s="36"/>
      <c r="P8" s="36"/>
      <c r="Q8" s="36">
        <v>1</v>
      </c>
      <c r="R8" s="36"/>
      <c r="S8" s="36"/>
      <c r="T8" s="36"/>
      <c r="U8" s="36"/>
      <c r="V8" s="36">
        <v>1</v>
      </c>
      <c r="W8" s="36">
        <v>1</v>
      </c>
    </row>
    <row r="9" spans="1:24">
      <c r="B9" s="33" t="s">
        <v>12</v>
      </c>
      <c r="C9" s="17">
        <f>SUM(C4:C8)</f>
        <v>1</v>
      </c>
      <c r="D9" s="17">
        <f t="shared" ref="D9:W9" si="0">SUM(D4:D8)</f>
        <v>1</v>
      </c>
      <c r="E9" s="17">
        <f t="shared" si="0"/>
        <v>1</v>
      </c>
      <c r="F9" s="17">
        <f t="shared" si="0"/>
        <v>1</v>
      </c>
      <c r="G9" s="17">
        <f t="shared" si="0"/>
        <v>1</v>
      </c>
      <c r="H9" s="17">
        <f t="shared" si="0"/>
        <v>1</v>
      </c>
      <c r="I9" s="17">
        <f t="shared" si="0"/>
        <v>1</v>
      </c>
      <c r="J9" s="17">
        <f t="shared" si="0"/>
        <v>1</v>
      </c>
      <c r="K9" s="17">
        <f t="shared" si="0"/>
        <v>1</v>
      </c>
      <c r="L9" s="17">
        <f t="shared" si="0"/>
        <v>1</v>
      </c>
      <c r="M9" s="17">
        <f t="shared" si="0"/>
        <v>1</v>
      </c>
      <c r="N9" s="17">
        <f t="shared" si="0"/>
        <v>1</v>
      </c>
      <c r="O9" s="17">
        <f t="shared" si="0"/>
        <v>1</v>
      </c>
      <c r="P9" s="17">
        <f t="shared" si="0"/>
        <v>1</v>
      </c>
      <c r="Q9" s="17">
        <f t="shared" si="0"/>
        <v>1</v>
      </c>
      <c r="R9" s="17">
        <f t="shared" si="0"/>
        <v>1</v>
      </c>
      <c r="S9" s="17">
        <f t="shared" si="0"/>
        <v>1</v>
      </c>
      <c r="T9" s="17">
        <f t="shared" si="0"/>
        <v>1</v>
      </c>
      <c r="U9" s="17">
        <f t="shared" si="0"/>
        <v>1</v>
      </c>
      <c r="V9" s="17">
        <f t="shared" si="0"/>
        <v>1</v>
      </c>
      <c r="W9" s="17">
        <f t="shared" si="0"/>
        <v>1</v>
      </c>
    </row>
    <row r="10" spans="1:24">
      <c r="A10" s="32"/>
      <c r="B10" s="34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</row>
    <row r="11" spans="1:24">
      <c r="B11" s="4"/>
      <c r="C11" s="419" t="s">
        <v>22</v>
      </c>
      <c r="D11" s="419"/>
      <c r="E11" s="419"/>
      <c r="F11" s="419"/>
      <c r="G11" s="419"/>
      <c r="H11" s="419"/>
      <c r="I11" s="419"/>
      <c r="J11" s="419"/>
      <c r="K11" s="419"/>
      <c r="L11" s="419"/>
      <c r="M11" s="419"/>
      <c r="N11" s="419"/>
      <c r="O11" s="419"/>
      <c r="P11" s="419"/>
      <c r="Q11" s="419"/>
      <c r="R11" s="419"/>
      <c r="S11" s="419"/>
      <c r="T11" s="419"/>
      <c r="U11" s="419"/>
      <c r="V11" s="419"/>
      <c r="W11" s="419"/>
    </row>
    <row r="12" spans="1:24">
      <c r="B12" s="35" t="s">
        <v>21</v>
      </c>
      <c r="C12" s="4" t="s">
        <v>50</v>
      </c>
      <c r="D12" s="4" t="s">
        <v>1</v>
      </c>
      <c r="E12" s="4" t="s">
        <v>2</v>
      </c>
      <c r="F12" s="4" t="s">
        <v>3</v>
      </c>
      <c r="G12" s="4" t="s">
        <v>4</v>
      </c>
      <c r="H12" s="4" t="s">
        <v>5</v>
      </c>
      <c r="I12" s="4" t="s">
        <v>14</v>
      </c>
      <c r="J12" s="4" t="s">
        <v>15</v>
      </c>
      <c r="K12" s="4" t="s">
        <v>16</v>
      </c>
      <c r="L12" s="4" t="s">
        <v>17</v>
      </c>
      <c r="M12" s="4" t="s">
        <v>18</v>
      </c>
      <c r="N12" s="4" t="s">
        <v>56</v>
      </c>
      <c r="O12" s="4" t="s">
        <v>57</v>
      </c>
      <c r="P12" s="4" t="s">
        <v>58</v>
      </c>
      <c r="Q12" s="4" t="s">
        <v>59</v>
      </c>
      <c r="R12" s="4" t="s">
        <v>60</v>
      </c>
      <c r="S12" s="4" t="s">
        <v>221</v>
      </c>
      <c r="T12" s="4" t="s">
        <v>222</v>
      </c>
      <c r="U12" s="4" t="s">
        <v>223</v>
      </c>
      <c r="V12" s="4" t="s">
        <v>224</v>
      </c>
      <c r="W12" s="4" t="s">
        <v>51</v>
      </c>
    </row>
    <row r="13" spans="1:24">
      <c r="B13" s="4">
        <v>0</v>
      </c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</row>
    <row r="14" spans="1:24">
      <c r="B14" s="4">
        <v>1</v>
      </c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>
        <f>V4</f>
        <v>0</v>
      </c>
    </row>
    <row r="15" spans="1:24">
      <c r="B15" s="4">
        <v>2</v>
      </c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>
        <f t="shared" ref="W15:W18" si="1">V5</f>
        <v>0</v>
      </c>
    </row>
    <row r="16" spans="1:24">
      <c r="B16" s="4">
        <v>3</v>
      </c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>
        <f t="shared" si="1"/>
        <v>0</v>
      </c>
    </row>
    <row r="17" spans="2:23">
      <c r="B17" s="4">
        <v>4</v>
      </c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>
        <f t="shared" si="1"/>
        <v>0</v>
      </c>
    </row>
    <row r="18" spans="2:23">
      <c r="B18" s="4">
        <v>5</v>
      </c>
      <c r="C18" s="36"/>
      <c r="D18" s="36">
        <f>D4</f>
        <v>0</v>
      </c>
      <c r="E18" s="36">
        <f t="shared" ref="E18:V18" si="2">E4</f>
        <v>0</v>
      </c>
      <c r="F18" s="36">
        <f t="shared" si="2"/>
        <v>0</v>
      </c>
      <c r="G18" s="36">
        <f t="shared" si="2"/>
        <v>0</v>
      </c>
      <c r="H18" s="36">
        <f t="shared" si="2"/>
        <v>1</v>
      </c>
      <c r="I18" s="36">
        <f t="shared" si="2"/>
        <v>0</v>
      </c>
      <c r="J18" s="36">
        <f t="shared" si="2"/>
        <v>0</v>
      </c>
      <c r="K18" s="36">
        <f t="shared" si="2"/>
        <v>0</v>
      </c>
      <c r="L18" s="36">
        <f t="shared" si="2"/>
        <v>0</v>
      </c>
      <c r="M18" s="36">
        <f t="shared" si="2"/>
        <v>1</v>
      </c>
      <c r="N18" s="36">
        <f t="shared" si="2"/>
        <v>0</v>
      </c>
      <c r="O18" s="36">
        <f t="shared" si="2"/>
        <v>0</v>
      </c>
      <c r="P18" s="36">
        <f t="shared" si="2"/>
        <v>0</v>
      </c>
      <c r="Q18" s="36">
        <f t="shared" si="2"/>
        <v>0</v>
      </c>
      <c r="R18" s="36">
        <f t="shared" si="2"/>
        <v>1</v>
      </c>
      <c r="S18" s="36">
        <f t="shared" si="2"/>
        <v>0</v>
      </c>
      <c r="T18" s="36">
        <f t="shared" si="2"/>
        <v>0</v>
      </c>
      <c r="U18" s="36">
        <f t="shared" si="2"/>
        <v>0</v>
      </c>
      <c r="V18" s="36">
        <f t="shared" si="2"/>
        <v>0</v>
      </c>
      <c r="W18" s="36">
        <f t="shared" si="1"/>
        <v>1</v>
      </c>
    </row>
    <row r="19" spans="2:23">
      <c r="B19" s="33" t="s">
        <v>12</v>
      </c>
      <c r="C19" s="17">
        <f>SUM(C14:C18)</f>
        <v>0</v>
      </c>
      <c r="D19" s="17">
        <f t="shared" ref="D19" si="3">SUM(D14:D18)</f>
        <v>0</v>
      </c>
      <c r="E19" s="17">
        <f t="shared" ref="E19" si="4">SUM(E14:E18)</f>
        <v>0</v>
      </c>
      <c r="F19" s="17">
        <f t="shared" ref="F19" si="5">SUM(F14:F18)</f>
        <v>0</v>
      </c>
      <c r="G19" s="17">
        <f t="shared" ref="G19" si="6">SUM(G14:G18)</f>
        <v>0</v>
      </c>
      <c r="H19" s="17">
        <f t="shared" ref="H19" si="7">SUM(H14:H18)</f>
        <v>1</v>
      </c>
      <c r="I19" s="17">
        <f t="shared" ref="I19" si="8">SUM(I14:I18)</f>
        <v>0</v>
      </c>
      <c r="J19" s="17">
        <f t="shared" ref="J19" si="9">SUM(J14:J18)</f>
        <v>0</v>
      </c>
      <c r="K19" s="17">
        <f t="shared" ref="K19" si="10">SUM(K14:K18)</f>
        <v>0</v>
      </c>
      <c r="L19" s="17">
        <f t="shared" ref="L19" si="11">SUM(L14:L18)</f>
        <v>0</v>
      </c>
      <c r="M19" s="17">
        <f t="shared" ref="M19" si="12">SUM(M14:M18)</f>
        <v>1</v>
      </c>
      <c r="N19" s="17">
        <f t="shared" ref="N19" si="13">SUM(N14:N18)</f>
        <v>0</v>
      </c>
      <c r="O19" s="17">
        <f t="shared" ref="O19" si="14">SUM(O14:O18)</f>
        <v>0</v>
      </c>
      <c r="P19" s="17">
        <f t="shared" ref="P19" si="15">SUM(P14:P18)</f>
        <v>0</v>
      </c>
      <c r="Q19" s="17">
        <f t="shared" ref="Q19" si="16">SUM(Q14:Q18)</f>
        <v>0</v>
      </c>
      <c r="R19" s="17">
        <f t="shared" ref="R19" si="17">SUM(R14:R18)</f>
        <v>1</v>
      </c>
      <c r="S19" s="17">
        <f t="shared" ref="S19" si="18">SUM(S14:S18)</f>
        <v>0</v>
      </c>
      <c r="T19" s="17">
        <f t="shared" ref="T19" si="19">SUM(T14:T18)</f>
        <v>0</v>
      </c>
      <c r="U19" s="17">
        <f t="shared" ref="U19" si="20">SUM(U14:U18)</f>
        <v>0</v>
      </c>
      <c r="V19" s="17">
        <f t="shared" ref="V19" si="21">SUM(V14:V18)</f>
        <v>0</v>
      </c>
      <c r="W19" s="17">
        <f t="shared" ref="W19" si="22">SUM(W14:W18)</f>
        <v>1</v>
      </c>
    </row>
    <row r="20" spans="2:23"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</row>
    <row r="21" spans="2:23"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</row>
    <row r="22" spans="2:23">
      <c r="B22" s="4"/>
      <c r="C22" s="419" t="s">
        <v>186</v>
      </c>
      <c r="D22" s="419"/>
      <c r="E22" s="419"/>
      <c r="F22" s="419"/>
      <c r="G22" s="419"/>
      <c r="H22" s="419"/>
      <c r="I22" s="419"/>
      <c r="J22" s="419"/>
      <c r="K22" s="419"/>
      <c r="L22" s="419"/>
      <c r="M22" s="419"/>
      <c r="N22" s="419"/>
      <c r="O22" s="419"/>
      <c r="P22" s="419"/>
      <c r="Q22" s="419"/>
      <c r="R22" s="419"/>
      <c r="S22" s="419"/>
      <c r="T22" s="419"/>
      <c r="U22" s="419"/>
      <c r="V22" s="419"/>
      <c r="W22" s="419"/>
    </row>
    <row r="23" spans="2:23">
      <c r="B23" s="35" t="s">
        <v>21</v>
      </c>
      <c r="C23" s="4" t="s">
        <v>50</v>
      </c>
      <c r="D23" s="4" t="s">
        <v>1</v>
      </c>
      <c r="E23" s="4" t="s">
        <v>2</v>
      </c>
      <c r="F23" s="4" t="s">
        <v>3</v>
      </c>
      <c r="G23" s="4" t="s">
        <v>4</v>
      </c>
      <c r="H23" s="4" t="s">
        <v>5</v>
      </c>
      <c r="I23" s="4" t="s">
        <v>14</v>
      </c>
      <c r="J23" s="4" t="s">
        <v>15</v>
      </c>
      <c r="K23" s="4" t="s">
        <v>16</v>
      </c>
      <c r="L23" s="4" t="s">
        <v>17</v>
      </c>
      <c r="M23" s="4" t="s">
        <v>18</v>
      </c>
      <c r="N23" s="4" t="s">
        <v>56</v>
      </c>
      <c r="O23" s="4" t="s">
        <v>57</v>
      </c>
      <c r="P23" s="4" t="s">
        <v>58</v>
      </c>
      <c r="Q23" s="4" t="s">
        <v>59</v>
      </c>
      <c r="R23" s="4" t="s">
        <v>60</v>
      </c>
      <c r="S23" s="4" t="s">
        <v>221</v>
      </c>
      <c r="T23" s="4" t="s">
        <v>222</v>
      </c>
      <c r="U23" s="4" t="s">
        <v>223</v>
      </c>
      <c r="V23" s="4" t="s">
        <v>224</v>
      </c>
      <c r="W23" s="4" t="s">
        <v>51</v>
      </c>
    </row>
    <row r="24" spans="2:23">
      <c r="B24" s="4" t="s">
        <v>185</v>
      </c>
      <c r="C24" s="36">
        <f>C4</f>
        <v>1</v>
      </c>
      <c r="D24" s="36">
        <f t="shared" ref="D24:W24" si="23">D4</f>
        <v>0</v>
      </c>
      <c r="E24" s="36">
        <f t="shared" si="23"/>
        <v>0</v>
      </c>
      <c r="F24" s="36">
        <f t="shared" si="23"/>
        <v>0</v>
      </c>
      <c r="G24" s="36">
        <f t="shared" si="23"/>
        <v>0</v>
      </c>
      <c r="H24" s="36">
        <f t="shared" si="23"/>
        <v>1</v>
      </c>
      <c r="I24" s="36">
        <f t="shared" si="23"/>
        <v>0</v>
      </c>
      <c r="J24" s="36">
        <f t="shared" si="23"/>
        <v>0</v>
      </c>
      <c r="K24" s="36">
        <f t="shared" si="23"/>
        <v>0</v>
      </c>
      <c r="L24" s="36">
        <f t="shared" si="23"/>
        <v>0</v>
      </c>
      <c r="M24" s="36">
        <f t="shared" si="23"/>
        <v>1</v>
      </c>
      <c r="N24" s="36">
        <f t="shared" si="23"/>
        <v>0</v>
      </c>
      <c r="O24" s="36">
        <f t="shared" si="23"/>
        <v>0</v>
      </c>
      <c r="P24" s="36">
        <f t="shared" si="23"/>
        <v>0</v>
      </c>
      <c r="Q24" s="36">
        <f t="shared" si="23"/>
        <v>0</v>
      </c>
      <c r="R24" s="36">
        <f t="shared" si="23"/>
        <v>1</v>
      </c>
      <c r="S24" s="36">
        <f t="shared" si="23"/>
        <v>0</v>
      </c>
      <c r="T24" s="36">
        <f t="shared" si="23"/>
        <v>0</v>
      </c>
      <c r="U24" s="36">
        <f t="shared" si="23"/>
        <v>0</v>
      </c>
      <c r="V24" s="36">
        <f t="shared" si="23"/>
        <v>0</v>
      </c>
      <c r="W24" s="36">
        <f t="shared" si="23"/>
        <v>0</v>
      </c>
    </row>
    <row r="26" spans="2:23">
      <c r="C26" s="419" t="s">
        <v>108</v>
      </c>
      <c r="D26" s="419"/>
      <c r="E26" s="419"/>
      <c r="F26" s="419"/>
      <c r="G26" s="419"/>
      <c r="H26" s="419"/>
      <c r="I26" s="419"/>
      <c r="J26" s="419"/>
      <c r="K26" s="419"/>
      <c r="L26" s="419"/>
      <c r="M26" s="419"/>
      <c r="N26" s="419"/>
      <c r="O26" s="419"/>
      <c r="P26" s="419"/>
      <c r="Q26" s="419"/>
      <c r="R26" s="419"/>
      <c r="S26" s="419"/>
      <c r="T26" s="419"/>
      <c r="U26" s="419"/>
      <c r="V26" s="419"/>
      <c r="W26" s="419"/>
    </row>
    <row r="27" spans="2:23">
      <c r="C27" s="4" t="s">
        <v>1</v>
      </c>
      <c r="D27" s="4" t="s">
        <v>2</v>
      </c>
      <c r="E27" s="4" t="s">
        <v>3</v>
      </c>
      <c r="F27" s="4" t="s">
        <v>4</v>
      </c>
      <c r="G27" s="4" t="s">
        <v>5</v>
      </c>
      <c r="H27" s="4" t="s">
        <v>14</v>
      </c>
      <c r="I27" s="4" t="s">
        <v>15</v>
      </c>
      <c r="J27" s="4" t="s">
        <v>16</v>
      </c>
      <c r="K27" s="4" t="s">
        <v>17</v>
      </c>
      <c r="L27" s="4" t="s">
        <v>18</v>
      </c>
      <c r="M27" s="4" t="s">
        <v>56</v>
      </c>
      <c r="N27" s="4" t="s">
        <v>57</v>
      </c>
      <c r="O27" s="4" t="s">
        <v>58</v>
      </c>
      <c r="P27" s="4" t="s">
        <v>59</v>
      </c>
      <c r="Q27" s="4" t="s">
        <v>60</v>
      </c>
      <c r="R27" s="4" t="s">
        <v>221</v>
      </c>
      <c r="S27" s="4" t="s">
        <v>222</v>
      </c>
      <c r="T27" s="4" t="s">
        <v>223</v>
      </c>
      <c r="U27" s="4" t="s">
        <v>224</v>
      </c>
      <c r="V27" s="4" t="s">
        <v>225</v>
      </c>
      <c r="W27" s="4" t="s">
        <v>51</v>
      </c>
    </row>
    <row r="28" spans="2:23">
      <c r="C28" s="17">
        <f>SUM(C4:C8)</f>
        <v>1</v>
      </c>
      <c r="D28" s="17">
        <f t="shared" ref="D28:W28" si="24">SUM(D4:D8)</f>
        <v>1</v>
      </c>
      <c r="E28" s="17">
        <f t="shared" si="24"/>
        <v>1</v>
      </c>
      <c r="F28" s="17">
        <f t="shared" si="24"/>
        <v>1</v>
      </c>
      <c r="G28" s="17">
        <f t="shared" si="24"/>
        <v>1</v>
      </c>
      <c r="H28" s="17">
        <f t="shared" si="24"/>
        <v>1</v>
      </c>
      <c r="I28" s="17">
        <f t="shared" si="24"/>
        <v>1</v>
      </c>
      <c r="J28" s="17">
        <f t="shared" si="24"/>
        <v>1</v>
      </c>
      <c r="K28" s="17">
        <f t="shared" si="24"/>
        <v>1</v>
      </c>
      <c r="L28" s="17">
        <f t="shared" si="24"/>
        <v>1</v>
      </c>
      <c r="M28" s="17">
        <f t="shared" si="24"/>
        <v>1</v>
      </c>
      <c r="N28" s="17">
        <f t="shared" si="24"/>
        <v>1</v>
      </c>
      <c r="O28" s="17">
        <f t="shared" si="24"/>
        <v>1</v>
      </c>
      <c r="P28" s="17">
        <f t="shared" si="24"/>
        <v>1</v>
      </c>
      <c r="Q28" s="17">
        <f t="shared" si="24"/>
        <v>1</v>
      </c>
      <c r="R28" s="17">
        <f t="shared" si="24"/>
        <v>1</v>
      </c>
      <c r="S28" s="17">
        <f t="shared" si="24"/>
        <v>1</v>
      </c>
      <c r="T28" s="17">
        <f t="shared" si="24"/>
        <v>1</v>
      </c>
      <c r="U28" s="17">
        <f t="shared" si="24"/>
        <v>1</v>
      </c>
      <c r="V28" s="17">
        <f t="shared" si="24"/>
        <v>1</v>
      </c>
      <c r="W28" s="17">
        <f t="shared" si="24"/>
        <v>1</v>
      </c>
    </row>
  </sheetData>
  <sheetProtection algorithmName="SHA-512" hashValue="1bp59Ssw6AmDecbRAFDcKWxuUoEyWqIVvx4W7NcuZwiwoGqVyzlIB0k6BAkJuyl7Ihwxk5ih90QRc2MSizawYg==" saltValue="GWM3yVntD+rqDxEVuYsabw==" spinCount="100000" sheet="1" objects="1" scenarios="1" selectLockedCells="1" selectUnlockedCells="1"/>
  <mergeCells count="6">
    <mergeCell ref="C22:W22"/>
    <mergeCell ref="C26:W26"/>
    <mergeCell ref="B1:W1"/>
    <mergeCell ref="B2:B3"/>
    <mergeCell ref="C2:W2"/>
    <mergeCell ref="C11:W11"/>
  </mergeCells>
  <phoneticPr fontId="120" type="noConversion"/>
  <pageMargins left="0.78740157499999996" right="0.78740157499999996" top="0.984251969" bottom="0.984251969" header="0.49212598499999999" footer="0.49212598499999999"/>
  <pageSetup paperSize="9" orientation="portrait" horizontalDpi="4294967292" r:id="rId1"/>
  <headerFooter alignWithMargins="0"/>
  <ignoredErrors>
    <ignoredError sqref="C24:W24 D18:V18 W14:W18" unlocked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31">
    <tabColor theme="9" tint="-0.249977111117893"/>
  </sheetPr>
  <dimension ref="A1:S48"/>
  <sheetViews>
    <sheetView showGridLines="0" zoomScale="70" zoomScaleNormal="70" workbookViewId="0">
      <selection activeCell="H10" sqref="H10"/>
    </sheetView>
  </sheetViews>
  <sheetFormatPr defaultColWidth="7.140625" defaultRowHeight="12.75"/>
  <cols>
    <col min="1" max="1" width="9.28515625" style="13" bestFit="1" customWidth="1"/>
    <col min="2" max="2" width="11.42578125" style="13" customWidth="1"/>
    <col min="3" max="18" width="6.85546875" style="13" customWidth="1"/>
    <col min="19" max="19" width="7.140625" style="13" customWidth="1"/>
    <col min="20" max="16384" width="7.140625" style="13"/>
  </cols>
  <sheetData>
    <row r="1" spans="1:19" s="3" customFormat="1" ht="18" customHeight="1">
      <c r="A1" s="2"/>
      <c r="B1" s="420" t="e">
        <f>+#REF!</f>
        <v>#REF!</v>
      </c>
      <c r="C1" s="420"/>
      <c r="D1" s="420"/>
      <c r="E1" s="420"/>
      <c r="F1" s="420"/>
      <c r="G1" s="420"/>
      <c r="H1" s="420"/>
      <c r="I1" s="420"/>
      <c r="J1" s="420"/>
      <c r="K1" s="420"/>
      <c r="L1" s="420"/>
      <c r="M1" s="420"/>
      <c r="N1" s="420"/>
      <c r="O1" s="420"/>
      <c r="P1" s="420"/>
      <c r="Q1" s="420"/>
      <c r="R1" s="420"/>
    </row>
    <row r="2" spans="1:19" ht="12.75" customHeight="1">
      <c r="B2" s="425" t="s">
        <v>21</v>
      </c>
      <c r="C2" s="419" t="s">
        <v>187</v>
      </c>
      <c r="D2" s="419"/>
      <c r="E2" s="419"/>
      <c r="F2" s="419"/>
      <c r="G2" s="419"/>
      <c r="H2" s="419"/>
      <c r="I2" s="419"/>
      <c r="J2" s="419"/>
      <c r="K2" s="419"/>
      <c r="L2" s="419"/>
      <c r="M2" s="419"/>
      <c r="N2" s="419"/>
      <c r="O2" s="419"/>
      <c r="P2" s="419"/>
      <c r="Q2" s="419"/>
      <c r="R2" s="419"/>
    </row>
    <row r="3" spans="1:19">
      <c r="B3" s="426"/>
      <c r="C3" s="4" t="s">
        <v>1</v>
      </c>
      <c r="D3" s="4" t="s">
        <v>2</v>
      </c>
      <c r="E3" s="4" t="s">
        <v>3</v>
      </c>
      <c r="F3" s="4" t="s">
        <v>4</v>
      </c>
      <c r="G3" s="4" t="s">
        <v>5</v>
      </c>
      <c r="H3" s="4" t="s">
        <v>14</v>
      </c>
      <c r="I3" s="4" t="s">
        <v>15</v>
      </c>
      <c r="J3" s="4" t="s">
        <v>16</v>
      </c>
      <c r="K3" s="4" t="s">
        <v>17</v>
      </c>
      <c r="L3" s="4" t="s">
        <v>18</v>
      </c>
      <c r="M3" s="4" t="s">
        <v>56</v>
      </c>
      <c r="N3" s="4" t="s">
        <v>57</v>
      </c>
      <c r="O3" s="4" t="s">
        <v>58</v>
      </c>
      <c r="P3" s="4" t="s">
        <v>59</v>
      </c>
      <c r="Q3" s="4" t="s">
        <v>60</v>
      </c>
      <c r="R3" s="4" t="s">
        <v>51</v>
      </c>
    </row>
    <row r="4" spans="1:19">
      <c r="B4" s="26">
        <v>0</v>
      </c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</row>
    <row r="5" spans="1:19">
      <c r="B5" s="27">
        <v>1</v>
      </c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28"/>
    </row>
    <row r="6" spans="1:19">
      <c r="B6" s="27">
        <v>2</v>
      </c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</row>
    <row r="7" spans="1:19">
      <c r="B7" s="27">
        <v>3</v>
      </c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</row>
    <row r="8" spans="1:19">
      <c r="B8" s="27">
        <v>4</v>
      </c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</row>
    <row r="9" spans="1:19">
      <c r="B9" s="29">
        <v>5</v>
      </c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</row>
    <row r="10" spans="1:19">
      <c r="B10" s="29">
        <v>6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</row>
    <row r="11" spans="1:19">
      <c r="B11" s="29">
        <v>7</v>
      </c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</row>
    <row r="12" spans="1:19">
      <c r="B12" s="29">
        <v>8</v>
      </c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</row>
    <row r="13" spans="1:19">
      <c r="B13" s="29">
        <v>9</v>
      </c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</row>
    <row r="14" spans="1:19">
      <c r="B14" s="29">
        <v>10</v>
      </c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</row>
    <row r="15" spans="1:19">
      <c r="B15" s="29">
        <v>11</v>
      </c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</row>
    <row r="16" spans="1:19">
      <c r="B16" s="29">
        <v>12</v>
      </c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</row>
    <row r="17" spans="1:18">
      <c r="B17" s="27">
        <v>13</v>
      </c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</row>
    <row r="18" spans="1:18">
      <c r="B18" s="27">
        <v>14</v>
      </c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</row>
    <row r="19" spans="1:18">
      <c r="B19" s="56" t="s">
        <v>12</v>
      </c>
      <c r="C19" s="30">
        <f t="shared" ref="C19:R19" si="0">SUM(C4:C18)</f>
        <v>0</v>
      </c>
      <c r="D19" s="31">
        <f t="shared" si="0"/>
        <v>0</v>
      </c>
      <c r="E19" s="31">
        <f t="shared" si="0"/>
        <v>0</v>
      </c>
      <c r="F19" s="31">
        <f t="shared" si="0"/>
        <v>0</v>
      </c>
      <c r="G19" s="31">
        <f t="shared" si="0"/>
        <v>0</v>
      </c>
      <c r="H19" s="31">
        <f t="shared" si="0"/>
        <v>0</v>
      </c>
      <c r="I19" s="31">
        <f t="shared" si="0"/>
        <v>0</v>
      </c>
      <c r="J19" s="31">
        <f t="shared" si="0"/>
        <v>0</v>
      </c>
      <c r="K19" s="31">
        <f t="shared" si="0"/>
        <v>0</v>
      </c>
      <c r="L19" s="31">
        <f t="shared" si="0"/>
        <v>0</v>
      </c>
      <c r="M19" s="31">
        <f t="shared" si="0"/>
        <v>0</v>
      </c>
      <c r="N19" s="31">
        <f t="shared" si="0"/>
        <v>0</v>
      </c>
      <c r="O19" s="31">
        <f t="shared" si="0"/>
        <v>0</v>
      </c>
      <c r="P19" s="31">
        <f t="shared" si="0"/>
        <v>0</v>
      </c>
      <c r="Q19" s="31">
        <f t="shared" si="0"/>
        <v>0</v>
      </c>
      <c r="R19" s="17">
        <f t="shared" si="0"/>
        <v>0</v>
      </c>
    </row>
    <row r="20" spans="1:18">
      <c r="A20" s="32"/>
      <c r="B20" s="32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</row>
    <row r="21" spans="1:18">
      <c r="B21" s="4"/>
      <c r="C21" s="419" t="s">
        <v>22</v>
      </c>
      <c r="D21" s="419"/>
      <c r="E21" s="419"/>
      <c r="F21" s="419"/>
      <c r="G21" s="419"/>
      <c r="H21" s="419"/>
      <c r="I21" s="419"/>
      <c r="J21" s="419"/>
      <c r="K21" s="419"/>
      <c r="L21" s="419"/>
      <c r="M21" s="419"/>
      <c r="N21" s="419"/>
      <c r="O21" s="419"/>
      <c r="P21" s="419"/>
      <c r="Q21" s="419"/>
      <c r="R21" s="419"/>
    </row>
    <row r="22" spans="1:18">
      <c r="B22" s="35" t="s">
        <v>21</v>
      </c>
      <c r="C22" s="4" t="s">
        <v>50</v>
      </c>
      <c r="D22" s="4" t="s">
        <v>1</v>
      </c>
      <c r="E22" s="4" t="s">
        <v>2</v>
      </c>
      <c r="F22" s="4" t="s">
        <v>3</v>
      </c>
      <c r="G22" s="4" t="s">
        <v>4</v>
      </c>
      <c r="H22" s="4" t="s">
        <v>5</v>
      </c>
      <c r="I22" s="4" t="s">
        <v>14</v>
      </c>
      <c r="J22" s="4" t="s">
        <v>15</v>
      </c>
      <c r="K22" s="4" t="s">
        <v>16</v>
      </c>
      <c r="L22" s="4" t="s">
        <v>17</v>
      </c>
      <c r="M22" s="4" t="s">
        <v>18</v>
      </c>
      <c r="N22" s="4" t="s">
        <v>56</v>
      </c>
      <c r="O22" s="4" t="s">
        <v>57</v>
      </c>
      <c r="P22" s="4" t="s">
        <v>58</v>
      </c>
      <c r="Q22" s="4" t="s">
        <v>59</v>
      </c>
      <c r="R22" s="4" t="s">
        <v>51</v>
      </c>
    </row>
    <row r="23" spans="1:18">
      <c r="B23" s="4">
        <v>0</v>
      </c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</row>
    <row r="24" spans="1:18">
      <c r="B24" s="4">
        <f>B23+1</f>
        <v>1</v>
      </c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</row>
    <row r="25" spans="1:18">
      <c r="B25" s="4">
        <f t="shared" ref="B25:B38" si="1">B24+1</f>
        <v>2</v>
      </c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</row>
    <row r="26" spans="1:18">
      <c r="B26" s="4">
        <f t="shared" si="1"/>
        <v>3</v>
      </c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</row>
    <row r="27" spans="1:18">
      <c r="B27" s="4">
        <f t="shared" si="1"/>
        <v>4</v>
      </c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</row>
    <row r="28" spans="1:18">
      <c r="B28" s="4">
        <f t="shared" si="1"/>
        <v>5</v>
      </c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</row>
    <row r="29" spans="1:18">
      <c r="B29" s="4">
        <f t="shared" si="1"/>
        <v>6</v>
      </c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</row>
    <row r="30" spans="1:18">
      <c r="B30" s="4">
        <f t="shared" si="1"/>
        <v>7</v>
      </c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</row>
    <row r="31" spans="1:18">
      <c r="B31" s="4">
        <f t="shared" si="1"/>
        <v>8</v>
      </c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</row>
    <row r="32" spans="1:18">
      <c r="B32" s="4">
        <f t="shared" si="1"/>
        <v>9</v>
      </c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</row>
    <row r="33" spans="2:18">
      <c r="B33" s="4">
        <f t="shared" si="1"/>
        <v>10</v>
      </c>
      <c r="C33" s="36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</row>
    <row r="34" spans="2:18">
      <c r="B34" s="4">
        <f t="shared" si="1"/>
        <v>11</v>
      </c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</row>
    <row r="35" spans="2:18">
      <c r="B35" s="4">
        <f t="shared" si="1"/>
        <v>12</v>
      </c>
      <c r="C35" s="36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</row>
    <row r="36" spans="2:18">
      <c r="B36" s="4">
        <f t="shared" si="1"/>
        <v>13</v>
      </c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</row>
    <row r="37" spans="2:18">
      <c r="B37" s="4">
        <f t="shared" si="1"/>
        <v>14</v>
      </c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</row>
    <row r="38" spans="2:18">
      <c r="B38" s="4">
        <f t="shared" si="1"/>
        <v>15</v>
      </c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</row>
    <row r="39" spans="2:18">
      <c r="B39" s="4"/>
      <c r="C39" s="17">
        <f t="shared" ref="C39:J39" si="2">SUM(C23:C38)</f>
        <v>0</v>
      </c>
      <c r="D39" s="17">
        <f t="shared" si="2"/>
        <v>0</v>
      </c>
      <c r="E39" s="17">
        <f t="shared" si="2"/>
        <v>0</v>
      </c>
      <c r="F39" s="17">
        <f t="shared" si="2"/>
        <v>0</v>
      </c>
      <c r="G39" s="17">
        <f t="shared" si="2"/>
        <v>0</v>
      </c>
      <c r="H39" s="17">
        <f t="shared" si="2"/>
        <v>0</v>
      </c>
      <c r="I39" s="17">
        <f t="shared" si="2"/>
        <v>0</v>
      </c>
      <c r="J39" s="17">
        <f t="shared" si="2"/>
        <v>0</v>
      </c>
      <c r="K39" s="17">
        <f t="shared" ref="K39:R39" si="3">SUM(K23:K38)</f>
        <v>0</v>
      </c>
      <c r="L39" s="17">
        <f t="shared" si="3"/>
        <v>0</v>
      </c>
      <c r="M39" s="17">
        <f t="shared" si="3"/>
        <v>0</v>
      </c>
      <c r="N39" s="17">
        <f t="shared" si="3"/>
        <v>0</v>
      </c>
      <c r="O39" s="17">
        <f t="shared" si="3"/>
        <v>0</v>
      </c>
      <c r="P39" s="17">
        <f t="shared" si="3"/>
        <v>0</v>
      </c>
      <c r="Q39" s="17">
        <f t="shared" si="3"/>
        <v>0</v>
      </c>
      <c r="R39" s="17">
        <f t="shared" si="3"/>
        <v>0</v>
      </c>
    </row>
    <row r="40" spans="2:18"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</row>
    <row r="41" spans="2:18"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</row>
    <row r="42" spans="2:18">
      <c r="B42" s="4"/>
      <c r="C42" s="419" t="s">
        <v>186</v>
      </c>
      <c r="D42" s="419"/>
      <c r="E42" s="419"/>
      <c r="F42" s="419"/>
      <c r="G42" s="419"/>
      <c r="H42" s="419"/>
      <c r="I42" s="419"/>
      <c r="J42" s="419"/>
      <c r="K42" s="419"/>
      <c r="L42" s="419"/>
      <c r="M42" s="419"/>
      <c r="N42" s="419"/>
      <c r="O42" s="419"/>
      <c r="P42" s="419"/>
      <c r="Q42" s="419"/>
      <c r="R42" s="419"/>
    </row>
    <row r="43" spans="2:18">
      <c r="B43" s="35" t="s">
        <v>21</v>
      </c>
      <c r="C43" s="4" t="s">
        <v>50</v>
      </c>
      <c r="D43" s="4" t="s">
        <v>1</v>
      </c>
      <c r="E43" s="4" t="s">
        <v>2</v>
      </c>
      <c r="F43" s="4" t="s">
        <v>3</v>
      </c>
      <c r="G43" s="4" t="s">
        <v>4</v>
      </c>
      <c r="H43" s="4" t="s">
        <v>5</v>
      </c>
      <c r="I43" s="4" t="s">
        <v>14</v>
      </c>
      <c r="J43" s="4" t="s">
        <v>15</v>
      </c>
      <c r="K43" s="4" t="s">
        <v>16</v>
      </c>
      <c r="L43" s="4" t="s">
        <v>17</v>
      </c>
      <c r="M43" s="4" t="s">
        <v>18</v>
      </c>
      <c r="N43" s="4" t="s">
        <v>56</v>
      </c>
      <c r="O43" s="4" t="s">
        <v>57</v>
      </c>
      <c r="P43" s="4" t="s">
        <v>58</v>
      </c>
      <c r="Q43" s="4" t="s">
        <v>59</v>
      </c>
      <c r="R43" s="4" t="s">
        <v>51</v>
      </c>
    </row>
    <row r="44" spans="2:18">
      <c r="B44" s="4" t="s">
        <v>185</v>
      </c>
      <c r="C44" s="36">
        <v>1</v>
      </c>
      <c r="D44" s="36">
        <v>0</v>
      </c>
      <c r="E44" s="36">
        <v>0</v>
      </c>
      <c r="F44" s="36">
        <v>0</v>
      </c>
      <c r="G44" s="36">
        <v>0</v>
      </c>
      <c r="H44" s="36">
        <v>0</v>
      </c>
      <c r="I44" s="36">
        <v>0</v>
      </c>
      <c r="J44" s="36">
        <v>0</v>
      </c>
      <c r="K44" s="36">
        <v>0</v>
      </c>
      <c r="L44" s="36">
        <v>0</v>
      </c>
      <c r="M44" s="36">
        <v>0</v>
      </c>
      <c r="N44" s="36">
        <v>0</v>
      </c>
      <c r="O44" s="36">
        <v>0</v>
      </c>
      <c r="P44" s="36">
        <v>0</v>
      </c>
      <c r="Q44" s="36">
        <v>0</v>
      </c>
      <c r="R44" s="36">
        <v>0</v>
      </c>
    </row>
    <row r="46" spans="2:18">
      <c r="C46" s="419" t="s">
        <v>108</v>
      </c>
      <c r="D46" s="419"/>
      <c r="E46" s="419"/>
      <c r="F46" s="419"/>
      <c r="G46" s="419"/>
      <c r="H46" s="419"/>
      <c r="I46" s="419"/>
      <c r="J46" s="419"/>
      <c r="K46" s="419"/>
      <c r="L46" s="419"/>
      <c r="M46" s="419"/>
      <c r="N46" s="419"/>
      <c r="O46" s="419"/>
      <c r="P46" s="419"/>
      <c r="Q46" s="419"/>
      <c r="R46" s="419"/>
    </row>
    <row r="47" spans="2:18">
      <c r="C47" s="4" t="s">
        <v>1</v>
      </c>
      <c r="D47" s="4" t="s">
        <v>2</v>
      </c>
      <c r="E47" s="4" t="s">
        <v>3</v>
      </c>
      <c r="F47" s="4" t="s">
        <v>4</v>
      </c>
      <c r="G47" s="4" t="s">
        <v>5</v>
      </c>
      <c r="H47" s="4" t="s">
        <v>14</v>
      </c>
      <c r="I47" s="4" t="s">
        <v>15</v>
      </c>
      <c r="J47" s="4" t="s">
        <v>16</v>
      </c>
      <c r="K47" s="4" t="s">
        <v>17</v>
      </c>
      <c r="L47" s="4" t="s">
        <v>18</v>
      </c>
      <c r="M47" s="4" t="s">
        <v>56</v>
      </c>
      <c r="N47" s="4" t="s">
        <v>57</v>
      </c>
      <c r="O47" s="4" t="s">
        <v>58</v>
      </c>
      <c r="P47" s="4" t="s">
        <v>59</v>
      </c>
      <c r="Q47" s="4" t="s">
        <v>60</v>
      </c>
      <c r="R47" s="4" t="s">
        <v>51</v>
      </c>
    </row>
    <row r="48" spans="2:18">
      <c r="C48" s="17">
        <f>SUM(C4:C8)</f>
        <v>0</v>
      </c>
      <c r="D48" s="17">
        <f t="shared" ref="D48:R48" si="4">SUM(D4:D8)</f>
        <v>0</v>
      </c>
      <c r="E48" s="17">
        <f t="shared" si="4"/>
        <v>0</v>
      </c>
      <c r="F48" s="17">
        <f t="shared" si="4"/>
        <v>0</v>
      </c>
      <c r="G48" s="17">
        <f t="shared" si="4"/>
        <v>0</v>
      </c>
      <c r="H48" s="17">
        <f t="shared" si="4"/>
        <v>0</v>
      </c>
      <c r="I48" s="17">
        <f t="shared" si="4"/>
        <v>0</v>
      </c>
      <c r="J48" s="17">
        <f t="shared" si="4"/>
        <v>0</v>
      </c>
      <c r="K48" s="17">
        <f t="shared" si="4"/>
        <v>0</v>
      </c>
      <c r="L48" s="17">
        <f t="shared" si="4"/>
        <v>0</v>
      </c>
      <c r="M48" s="17">
        <f t="shared" si="4"/>
        <v>0</v>
      </c>
      <c r="N48" s="17">
        <f t="shared" si="4"/>
        <v>0</v>
      </c>
      <c r="O48" s="17">
        <f t="shared" si="4"/>
        <v>0</v>
      </c>
      <c r="P48" s="17">
        <f t="shared" si="4"/>
        <v>0</v>
      </c>
      <c r="Q48" s="17">
        <f t="shared" si="4"/>
        <v>0</v>
      </c>
      <c r="R48" s="17">
        <f t="shared" si="4"/>
        <v>0</v>
      </c>
    </row>
  </sheetData>
  <mergeCells count="6">
    <mergeCell ref="C42:R42"/>
    <mergeCell ref="C46:R46"/>
    <mergeCell ref="B1:R1"/>
    <mergeCell ref="B2:B3"/>
    <mergeCell ref="C2:R2"/>
    <mergeCell ref="C21:R21"/>
  </mergeCells>
  <phoneticPr fontId="120" type="noConversion"/>
  <pageMargins left="0.78740157499999996" right="0.78740157499999996" top="0.984251969" bottom="0.984251969" header="0.49212598499999999" footer="0.49212598499999999"/>
  <pageSetup paperSize="9" orientation="portrait" horizontalDpi="4294967292" r:id="rId1"/>
  <headerFooter alignWithMargins="0"/>
  <ignoredErrors>
    <ignoredError sqref="D48:R48" formulaRange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19"/>
  <dimension ref="A1:H72"/>
  <sheetViews>
    <sheetView showGridLines="0" topLeftCell="A17" zoomScale="130" zoomScaleNormal="130" workbookViewId="0">
      <selection activeCell="G54" sqref="G54"/>
    </sheetView>
  </sheetViews>
  <sheetFormatPr defaultColWidth="7.140625" defaultRowHeight="12.75"/>
  <cols>
    <col min="1" max="1" width="28.42578125" style="3" customWidth="1"/>
    <col min="2" max="2" width="17.42578125" style="3" customWidth="1"/>
    <col min="3" max="3" width="7.140625" style="3" customWidth="1"/>
    <col min="4" max="4" width="15" style="3" bestFit="1" customWidth="1"/>
    <col min="5" max="5" width="11.140625" style="3" bestFit="1" customWidth="1"/>
    <col min="6" max="14" width="9.7109375" style="3" customWidth="1"/>
    <col min="15" max="23" width="8.28515625" style="3" customWidth="1"/>
    <col min="24" max="16384" width="7.140625" style="3"/>
  </cols>
  <sheetData>
    <row r="1" spans="1:8">
      <c r="A1" s="92" t="s">
        <v>27</v>
      </c>
    </row>
    <row r="3" spans="1:8">
      <c r="B3" s="40"/>
    </row>
    <row r="4" spans="1:8" ht="15" customHeight="1">
      <c r="A4" s="25"/>
      <c r="B4" s="41" t="s">
        <v>336</v>
      </c>
    </row>
    <row r="5" spans="1:8" ht="15" customHeight="1">
      <c r="A5" s="42" t="s">
        <v>39</v>
      </c>
      <c r="B5" s="43">
        <v>70000</v>
      </c>
    </row>
    <row r="6" spans="1:8" ht="15" customHeight="1">
      <c r="A6" s="44"/>
    </row>
    <row r="7" spans="1:8">
      <c r="A7" s="46" t="s">
        <v>19</v>
      </c>
      <c r="B7" s="47">
        <v>5</v>
      </c>
      <c r="D7" s="13"/>
      <c r="E7" s="5"/>
      <c r="F7" s="5"/>
      <c r="G7" s="5"/>
      <c r="H7" s="5"/>
    </row>
    <row r="8" spans="1:8">
      <c r="A8" s="46" t="s">
        <v>20</v>
      </c>
      <c r="B8" s="48">
        <v>0.2</v>
      </c>
      <c r="F8" s="13"/>
      <c r="G8" s="13"/>
      <c r="H8" s="13"/>
    </row>
    <row r="9" spans="1:8">
      <c r="A9" s="25"/>
      <c r="B9" s="49"/>
    </row>
    <row r="10" spans="1:8">
      <c r="A10" s="50" t="s">
        <v>21</v>
      </c>
      <c r="B10" s="41" t="s">
        <v>279</v>
      </c>
      <c r="D10" s="427" t="str">
        <f>B10</f>
        <v>Administrativo</v>
      </c>
      <c r="E10" s="428"/>
    </row>
    <row r="11" spans="1:8">
      <c r="A11" s="51">
        <v>0</v>
      </c>
      <c r="B11" s="331">
        <f>B5</f>
        <v>70000</v>
      </c>
      <c r="C11" s="21"/>
      <c r="D11" s="90" t="s">
        <v>76</v>
      </c>
      <c r="E11" s="90" t="s">
        <v>77</v>
      </c>
    </row>
    <row r="12" spans="1:8">
      <c r="A12" s="51">
        <v>1</v>
      </c>
      <c r="B12" s="331">
        <f>$B$5*(1-E12)</f>
        <v>51333.333333333336</v>
      </c>
      <c r="C12" s="21"/>
      <c r="D12" s="18">
        <f t="shared" ref="D12:D31" si="0">IF(A12&gt;$B$7,0,IF((1-$B$8)*($E$56-A12+1)/VLOOKUP($B$7,$A$57:$B$72,2,FALSE)&lt;0,0,(1-$B$8)*($B$7-A12+1)/VLOOKUP($B$7,$A$57:$B$72,2,FALSE)))</f>
        <v>0.26666666666666666</v>
      </c>
      <c r="E12" s="52">
        <f>D12</f>
        <v>0.26666666666666666</v>
      </c>
    </row>
    <row r="13" spans="1:8">
      <c r="A13" s="51">
        <v>2</v>
      </c>
      <c r="B13" s="331">
        <f t="shared" ref="B13:B31" si="1">$B$5*(1-E13)</f>
        <v>36400</v>
      </c>
      <c r="D13" s="18">
        <f t="shared" si="0"/>
        <v>0.21333333333333335</v>
      </c>
      <c r="E13" s="52">
        <f>E12+D13</f>
        <v>0.48</v>
      </c>
    </row>
    <row r="14" spans="1:8">
      <c r="A14" s="51">
        <v>3</v>
      </c>
      <c r="B14" s="331">
        <f t="shared" si="1"/>
        <v>25200</v>
      </c>
      <c r="D14" s="18">
        <f t="shared" si="0"/>
        <v>0.16000000000000003</v>
      </c>
      <c r="E14" s="52">
        <f t="shared" ref="E14:E31" si="2">E13+D14</f>
        <v>0.64</v>
      </c>
    </row>
    <row r="15" spans="1:8">
      <c r="A15" s="51">
        <v>4</v>
      </c>
      <c r="B15" s="331">
        <f t="shared" si="1"/>
        <v>17733.333333333332</v>
      </c>
      <c r="D15" s="18">
        <f t="shared" si="0"/>
        <v>0.10666666666666667</v>
      </c>
      <c r="E15" s="52">
        <f t="shared" si="2"/>
        <v>0.7466666666666667</v>
      </c>
    </row>
    <row r="16" spans="1:8">
      <c r="A16" s="51">
        <v>5</v>
      </c>
      <c r="B16" s="331">
        <f t="shared" si="1"/>
        <v>13999.999999999996</v>
      </c>
      <c r="D16" s="18">
        <f t="shared" si="0"/>
        <v>5.3333333333333337E-2</v>
      </c>
      <c r="E16" s="52">
        <f t="shared" si="2"/>
        <v>0.8</v>
      </c>
    </row>
    <row r="17" spans="1:5">
      <c r="A17" s="51">
        <v>6</v>
      </c>
      <c r="B17" s="331">
        <f t="shared" si="1"/>
        <v>13999.999999999996</v>
      </c>
      <c r="D17" s="18">
        <f t="shared" si="0"/>
        <v>0</v>
      </c>
      <c r="E17" s="52">
        <f t="shared" si="2"/>
        <v>0.8</v>
      </c>
    </row>
    <row r="18" spans="1:5">
      <c r="A18" s="51">
        <v>7</v>
      </c>
      <c r="B18" s="331">
        <f t="shared" si="1"/>
        <v>13999.999999999996</v>
      </c>
      <c r="D18" s="18">
        <f t="shared" si="0"/>
        <v>0</v>
      </c>
      <c r="E18" s="52">
        <f t="shared" si="2"/>
        <v>0.8</v>
      </c>
    </row>
    <row r="19" spans="1:5">
      <c r="A19" s="51">
        <v>8</v>
      </c>
      <c r="B19" s="331">
        <f t="shared" si="1"/>
        <v>13999.999999999996</v>
      </c>
      <c r="D19" s="18">
        <f t="shared" si="0"/>
        <v>0</v>
      </c>
      <c r="E19" s="52">
        <f t="shared" si="2"/>
        <v>0.8</v>
      </c>
    </row>
    <row r="20" spans="1:5">
      <c r="A20" s="51">
        <v>9</v>
      </c>
      <c r="B20" s="331">
        <f t="shared" si="1"/>
        <v>13999.999999999996</v>
      </c>
      <c r="D20" s="18">
        <f t="shared" si="0"/>
        <v>0</v>
      </c>
      <c r="E20" s="52">
        <f t="shared" si="2"/>
        <v>0.8</v>
      </c>
    </row>
    <row r="21" spans="1:5">
      <c r="A21" s="51">
        <v>10</v>
      </c>
      <c r="B21" s="331">
        <f t="shared" si="1"/>
        <v>13999.999999999996</v>
      </c>
      <c r="D21" s="18">
        <f t="shared" si="0"/>
        <v>0</v>
      </c>
      <c r="E21" s="52">
        <f t="shared" si="2"/>
        <v>0.8</v>
      </c>
    </row>
    <row r="22" spans="1:5">
      <c r="A22" s="51">
        <v>11</v>
      </c>
      <c r="B22" s="331">
        <f t="shared" si="1"/>
        <v>13999.999999999996</v>
      </c>
      <c r="D22" s="18">
        <f t="shared" si="0"/>
        <v>0</v>
      </c>
      <c r="E22" s="52">
        <f t="shared" si="2"/>
        <v>0.8</v>
      </c>
    </row>
    <row r="23" spans="1:5">
      <c r="A23" s="51">
        <v>12</v>
      </c>
      <c r="B23" s="331">
        <f t="shared" si="1"/>
        <v>13999.999999999996</v>
      </c>
      <c r="D23" s="18">
        <f t="shared" si="0"/>
        <v>0</v>
      </c>
      <c r="E23" s="52">
        <f t="shared" si="2"/>
        <v>0.8</v>
      </c>
    </row>
    <row r="24" spans="1:5">
      <c r="A24" s="51">
        <v>13</v>
      </c>
      <c r="B24" s="331">
        <f t="shared" si="1"/>
        <v>13999.999999999996</v>
      </c>
      <c r="D24" s="18">
        <f t="shared" si="0"/>
        <v>0</v>
      </c>
      <c r="E24" s="52">
        <f t="shared" si="2"/>
        <v>0.8</v>
      </c>
    </row>
    <row r="25" spans="1:5">
      <c r="A25" s="51">
        <v>14</v>
      </c>
      <c r="B25" s="331">
        <f t="shared" si="1"/>
        <v>13999.999999999996</v>
      </c>
      <c r="D25" s="18">
        <f t="shared" si="0"/>
        <v>0</v>
      </c>
      <c r="E25" s="52">
        <f t="shared" si="2"/>
        <v>0.8</v>
      </c>
    </row>
    <row r="26" spans="1:5">
      <c r="A26" s="51">
        <v>15</v>
      </c>
      <c r="B26" s="331">
        <f t="shared" si="1"/>
        <v>13999.999999999996</v>
      </c>
      <c r="D26" s="18">
        <f t="shared" si="0"/>
        <v>0</v>
      </c>
      <c r="E26" s="52">
        <f t="shared" si="2"/>
        <v>0.8</v>
      </c>
    </row>
    <row r="27" spans="1:5">
      <c r="A27" s="51">
        <v>16</v>
      </c>
      <c r="B27" s="331">
        <f t="shared" si="1"/>
        <v>13999.999999999996</v>
      </c>
      <c r="D27" s="18">
        <f t="shared" si="0"/>
        <v>0</v>
      </c>
      <c r="E27" s="52">
        <f t="shared" si="2"/>
        <v>0.8</v>
      </c>
    </row>
    <row r="28" spans="1:5">
      <c r="A28" s="51">
        <v>17</v>
      </c>
      <c r="B28" s="331">
        <f t="shared" si="1"/>
        <v>13999.999999999996</v>
      </c>
      <c r="D28" s="18">
        <f t="shared" si="0"/>
        <v>0</v>
      </c>
      <c r="E28" s="52">
        <f t="shared" si="2"/>
        <v>0.8</v>
      </c>
    </row>
    <row r="29" spans="1:5">
      <c r="A29" s="51">
        <v>18</v>
      </c>
      <c r="B29" s="331">
        <f t="shared" si="1"/>
        <v>13999.999999999996</v>
      </c>
      <c r="D29" s="18">
        <f t="shared" si="0"/>
        <v>0</v>
      </c>
      <c r="E29" s="52">
        <f t="shared" si="2"/>
        <v>0.8</v>
      </c>
    </row>
    <row r="30" spans="1:5">
      <c r="A30" s="51">
        <v>19</v>
      </c>
      <c r="B30" s="331">
        <f t="shared" si="1"/>
        <v>13999.999999999996</v>
      </c>
      <c r="D30" s="18">
        <f t="shared" si="0"/>
        <v>0</v>
      </c>
      <c r="E30" s="52">
        <f t="shared" si="2"/>
        <v>0.8</v>
      </c>
    </row>
    <row r="31" spans="1:5">
      <c r="A31" s="51">
        <v>20</v>
      </c>
      <c r="B31" s="331">
        <f t="shared" si="1"/>
        <v>13999.999999999996</v>
      </c>
      <c r="D31" s="18">
        <f t="shared" si="0"/>
        <v>0</v>
      </c>
      <c r="E31" s="52">
        <f t="shared" si="2"/>
        <v>0.8</v>
      </c>
    </row>
    <row r="32" spans="1:5">
      <c r="A32" s="53"/>
    </row>
    <row r="33" spans="1:1" hidden="1">
      <c r="A33" s="54" t="s">
        <v>73</v>
      </c>
    </row>
    <row r="34" spans="1:1" hidden="1">
      <c r="A34" s="55">
        <v>1</v>
      </c>
    </row>
    <row r="35" spans="1:1" hidden="1">
      <c r="A35" s="55">
        <v>2</v>
      </c>
    </row>
    <row r="36" spans="1:1" hidden="1">
      <c r="A36" s="55">
        <v>3</v>
      </c>
    </row>
    <row r="37" spans="1:1" hidden="1">
      <c r="A37" s="55">
        <v>4</v>
      </c>
    </row>
    <row r="38" spans="1:1" hidden="1">
      <c r="A38" s="55">
        <v>5</v>
      </c>
    </row>
    <row r="39" spans="1:1" hidden="1">
      <c r="A39" s="55">
        <v>6</v>
      </c>
    </row>
    <row r="40" spans="1:1" hidden="1">
      <c r="A40" s="55">
        <v>7</v>
      </c>
    </row>
    <row r="41" spans="1:1" hidden="1">
      <c r="A41" s="55">
        <v>8</v>
      </c>
    </row>
    <row r="42" spans="1:1" hidden="1">
      <c r="A42" s="55">
        <v>9</v>
      </c>
    </row>
    <row r="43" spans="1:1" hidden="1">
      <c r="A43" s="55">
        <v>10</v>
      </c>
    </row>
    <row r="44" spans="1:1" hidden="1">
      <c r="A44" s="55">
        <v>11</v>
      </c>
    </row>
    <row r="45" spans="1:1" hidden="1">
      <c r="A45" s="55">
        <v>12</v>
      </c>
    </row>
    <row r="46" spans="1:1" hidden="1">
      <c r="A46" s="55">
        <v>13</v>
      </c>
    </row>
    <row r="47" spans="1:1" hidden="1">
      <c r="A47" s="55">
        <v>14</v>
      </c>
    </row>
    <row r="48" spans="1:1" hidden="1">
      <c r="A48" s="55">
        <v>15</v>
      </c>
    </row>
    <row r="49" spans="1:5" hidden="1"/>
    <row r="56" spans="1:5">
      <c r="A56" s="95" t="s">
        <v>73</v>
      </c>
      <c r="B56" s="96" t="s">
        <v>74</v>
      </c>
      <c r="D56" s="3" t="s">
        <v>75</v>
      </c>
      <c r="E56" s="13">
        <f>VLOOKUP(B7,A57:B72,2,FALSE)</f>
        <v>15</v>
      </c>
    </row>
    <row r="57" spans="1:5">
      <c r="A57" s="96">
        <v>1</v>
      </c>
      <c r="B57" s="96">
        <v>1</v>
      </c>
    </row>
    <row r="58" spans="1:5">
      <c r="A58" s="96">
        <v>2</v>
      </c>
      <c r="B58" s="96">
        <f t="shared" ref="B58:B72" si="3">+B57+A58</f>
        <v>3</v>
      </c>
    </row>
    <row r="59" spans="1:5">
      <c r="A59" s="96">
        <v>3</v>
      </c>
      <c r="B59" s="96">
        <f t="shared" si="3"/>
        <v>6</v>
      </c>
    </row>
    <row r="60" spans="1:5">
      <c r="A60" s="96">
        <v>4</v>
      </c>
      <c r="B60" s="96">
        <f t="shared" si="3"/>
        <v>10</v>
      </c>
    </row>
    <row r="61" spans="1:5">
      <c r="A61" s="96">
        <v>5</v>
      </c>
      <c r="B61" s="96">
        <f t="shared" si="3"/>
        <v>15</v>
      </c>
    </row>
    <row r="62" spans="1:5">
      <c r="A62" s="96">
        <v>6</v>
      </c>
      <c r="B62" s="96">
        <f t="shared" si="3"/>
        <v>21</v>
      </c>
    </row>
    <row r="63" spans="1:5">
      <c r="A63" s="96">
        <v>7</v>
      </c>
      <c r="B63" s="96">
        <f t="shared" si="3"/>
        <v>28</v>
      </c>
    </row>
    <row r="64" spans="1:5">
      <c r="A64" s="96">
        <v>8</v>
      </c>
      <c r="B64" s="96">
        <f t="shared" si="3"/>
        <v>36</v>
      </c>
    </row>
    <row r="65" spans="1:2">
      <c r="A65" s="96">
        <v>9</v>
      </c>
      <c r="B65" s="96">
        <f t="shared" si="3"/>
        <v>45</v>
      </c>
    </row>
    <row r="66" spans="1:2">
      <c r="A66" s="96">
        <v>10</v>
      </c>
      <c r="B66" s="96">
        <f t="shared" si="3"/>
        <v>55</v>
      </c>
    </row>
    <row r="67" spans="1:2">
      <c r="A67" s="96">
        <v>11</v>
      </c>
      <c r="B67" s="96">
        <f t="shared" si="3"/>
        <v>66</v>
      </c>
    </row>
    <row r="68" spans="1:2">
      <c r="A68" s="96">
        <v>12</v>
      </c>
      <c r="B68" s="96">
        <f t="shared" si="3"/>
        <v>78</v>
      </c>
    </row>
    <row r="69" spans="1:2">
      <c r="A69" s="96">
        <v>13</v>
      </c>
      <c r="B69" s="96">
        <f t="shared" si="3"/>
        <v>91</v>
      </c>
    </row>
    <row r="70" spans="1:2">
      <c r="A70" s="96">
        <v>14</v>
      </c>
      <c r="B70" s="96">
        <f t="shared" si="3"/>
        <v>105</v>
      </c>
    </row>
    <row r="71" spans="1:2">
      <c r="A71" s="96">
        <v>15</v>
      </c>
      <c r="B71" s="96">
        <f t="shared" si="3"/>
        <v>120</v>
      </c>
    </row>
    <row r="72" spans="1:2">
      <c r="A72" s="96">
        <v>16</v>
      </c>
      <c r="B72" s="96">
        <f t="shared" si="3"/>
        <v>136</v>
      </c>
    </row>
  </sheetData>
  <sheetProtection algorithmName="SHA-512" hashValue="MAFoHh/o/QD9/nsyk6v1l90BGDcObltJeucuUJlFZxST/6uTGiGESViYLF57lT5PAU0CRU5M7txnxqszpCzWzA==" saltValue="u9YQ1JGjh8xspWY66PLzSQ==" spinCount="100000" sheet="1" objects="1" scenarios="1" selectLockedCells="1" selectUnlockedCells="1"/>
  <mergeCells count="1">
    <mergeCell ref="D10:E10"/>
  </mergeCells>
  <phoneticPr fontId="120" type="noConversion"/>
  <pageMargins left="0.78740157499999996" right="0.78740157499999996" top="0.984251969" bottom="0.984251969" header="0.49212598499999999" footer="0.49212598499999999"/>
  <pageSetup paperSize="9" orientation="portrait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7"/>
  <dimension ref="A1:U15"/>
  <sheetViews>
    <sheetView showGridLines="0" zoomScale="120" zoomScaleNormal="120" workbookViewId="0">
      <selection activeCell="I7" sqref="I7"/>
    </sheetView>
  </sheetViews>
  <sheetFormatPr defaultColWidth="7.140625" defaultRowHeight="12.75"/>
  <cols>
    <col min="1" max="1" width="24.28515625" style="3" customWidth="1"/>
    <col min="2" max="2" width="8.140625" style="3" bestFit="1" customWidth="1"/>
    <col min="3" max="6" width="5.7109375" style="3" bestFit="1" customWidth="1"/>
    <col min="7" max="7" width="8.140625" style="3" bestFit="1" customWidth="1"/>
    <col min="8" max="11" width="5.7109375" style="3" bestFit="1" customWidth="1"/>
    <col min="12" max="12" width="8.140625" style="3" bestFit="1" customWidth="1"/>
    <col min="13" max="16" width="6.7109375" style="3" bestFit="1" customWidth="1"/>
    <col min="17" max="17" width="8.140625" style="3" bestFit="1" customWidth="1"/>
    <col min="18" max="21" width="6.7109375" style="3" bestFit="1" customWidth="1"/>
    <col min="22" max="16384" width="7.140625" style="3"/>
  </cols>
  <sheetData>
    <row r="1" spans="1:21">
      <c r="A1" s="424"/>
      <c r="B1" s="424"/>
      <c r="C1" s="424"/>
      <c r="D1" s="424"/>
    </row>
    <row r="3" spans="1:21">
      <c r="C3" s="37"/>
    </row>
    <row r="4" spans="1:21">
      <c r="A4" s="424" t="s">
        <v>213</v>
      </c>
      <c r="B4" s="424"/>
      <c r="C4" s="424"/>
      <c r="D4" s="424"/>
    </row>
    <row r="5" spans="1:21">
      <c r="A5" s="2"/>
      <c r="C5" s="37"/>
    </row>
    <row r="6" spans="1:21">
      <c r="B6" s="24" t="s">
        <v>28</v>
      </c>
      <c r="C6" s="24" t="s">
        <v>1</v>
      </c>
      <c r="D6" s="24" t="s">
        <v>2</v>
      </c>
      <c r="E6" s="24" t="s">
        <v>3</v>
      </c>
      <c r="F6" s="24" t="s">
        <v>4</v>
      </c>
      <c r="G6" s="24" t="s">
        <v>5</v>
      </c>
      <c r="H6" s="24" t="s">
        <v>14</v>
      </c>
      <c r="I6" s="24" t="s">
        <v>15</v>
      </c>
      <c r="J6" s="24" t="s">
        <v>16</v>
      </c>
      <c r="K6" s="24" t="s">
        <v>17</v>
      </c>
      <c r="L6" s="24" t="s">
        <v>18</v>
      </c>
      <c r="M6" s="24" t="s">
        <v>56</v>
      </c>
      <c r="N6" s="24" t="s">
        <v>57</v>
      </c>
      <c r="O6" s="24" t="s">
        <v>58</v>
      </c>
      <c r="P6" s="24" t="s">
        <v>59</v>
      </c>
      <c r="Q6" s="24" t="s">
        <v>60</v>
      </c>
      <c r="R6" s="24" t="s">
        <v>221</v>
      </c>
      <c r="S6" s="24" t="s">
        <v>222</v>
      </c>
      <c r="T6" s="24" t="s">
        <v>223</v>
      </c>
      <c r="U6" s="24" t="s">
        <v>224</v>
      </c>
    </row>
    <row r="7" spans="1:21">
      <c r="A7" s="60" t="s">
        <v>78</v>
      </c>
      <c r="B7" s="23">
        <f>'Q10.a-Preço-Outros Veíc. '!$B$11*'Q9.a-Veic. Adm.'!C24</f>
        <v>70000</v>
      </c>
      <c r="C7" s="23">
        <f>'Q10.a-Preço-Outros Veíc. '!$B$11*'Q9.a-Veic. Adm.'!D24</f>
        <v>0</v>
      </c>
      <c r="D7" s="23">
        <f>'Q10.a-Preço-Outros Veíc. '!$B$11*'Q9.a-Veic. Adm.'!E24</f>
        <v>0</v>
      </c>
      <c r="E7" s="23">
        <f>'Q10.a-Preço-Outros Veíc. '!$B$11*'Q9.a-Veic. Adm.'!F24</f>
        <v>0</v>
      </c>
      <c r="F7" s="23">
        <f>'Q10.a-Preço-Outros Veíc. '!$B$11*'Q9.a-Veic. Adm.'!G24</f>
        <v>0</v>
      </c>
      <c r="G7" s="23">
        <f>'Q10.a-Preço-Outros Veíc. '!$B$11*'Q9.a-Veic. Adm.'!H24</f>
        <v>70000</v>
      </c>
      <c r="H7" s="23">
        <f>'Q10.a-Preço-Outros Veíc. '!$B$11*'Q9.a-Veic. Adm.'!I24</f>
        <v>0</v>
      </c>
      <c r="I7" s="23">
        <f>'Q10.a-Preço-Outros Veíc. '!$B$11*'Q9.a-Veic. Adm.'!J24</f>
        <v>0</v>
      </c>
      <c r="J7" s="23">
        <f>'Q10.a-Preço-Outros Veíc. '!$B$11*'Q9.a-Veic. Adm.'!K24</f>
        <v>0</v>
      </c>
      <c r="K7" s="23">
        <f>'Q10.a-Preço-Outros Veíc. '!$B$11*'Q9.a-Veic. Adm.'!L24</f>
        <v>0</v>
      </c>
      <c r="L7" s="23">
        <f>'Q10.a-Preço-Outros Veíc. '!$B$11*'Q9.a-Veic. Adm.'!M24</f>
        <v>70000</v>
      </c>
      <c r="M7" s="23">
        <f>'Q10.a-Preço-Outros Veíc. '!$B$11*'Q9.a-Veic. Adm.'!N24</f>
        <v>0</v>
      </c>
      <c r="N7" s="23">
        <f>'Q10.a-Preço-Outros Veíc. '!$B$11*'Q9.a-Veic. Adm.'!O24</f>
        <v>0</v>
      </c>
      <c r="O7" s="23">
        <f>'Q10.a-Preço-Outros Veíc. '!$B$11*'Q9.a-Veic. Adm.'!P24</f>
        <v>0</v>
      </c>
      <c r="P7" s="23">
        <f>'Q10.a-Preço-Outros Veíc. '!$B$11*'Q9.a-Veic. Adm.'!Q24</f>
        <v>0</v>
      </c>
      <c r="Q7" s="23">
        <f>'Q10.a-Preço-Outros Veíc. '!$B$11*'Q9.a-Veic. Adm.'!R24</f>
        <v>70000</v>
      </c>
      <c r="R7" s="23">
        <f>'Q10.a-Preço-Outros Veíc. '!$B$11*'Q9.a-Veic. Adm.'!S24</f>
        <v>0</v>
      </c>
      <c r="S7" s="23">
        <f>'Q10.a-Preço-Outros Veíc. '!$B$11*'Q9.a-Veic. Adm.'!T24</f>
        <v>0</v>
      </c>
      <c r="T7" s="23">
        <f>'Q10.a-Preço-Outros Veíc. '!$B$11*'Q9.a-Veic. Adm.'!U24</f>
        <v>0</v>
      </c>
      <c r="U7" s="23">
        <f>'Q10.a-Preço-Outros Veíc. '!$B$11*'Q9.a-Veic. Adm.'!V24</f>
        <v>0</v>
      </c>
    </row>
    <row r="8" spans="1:21">
      <c r="A8" s="39" t="s">
        <v>13</v>
      </c>
      <c r="B8" s="39">
        <f t="shared" ref="B8:U8" si="0">B7</f>
        <v>70000</v>
      </c>
      <c r="C8" s="39">
        <f t="shared" si="0"/>
        <v>0</v>
      </c>
      <c r="D8" s="39">
        <f t="shared" si="0"/>
        <v>0</v>
      </c>
      <c r="E8" s="39">
        <f t="shared" si="0"/>
        <v>0</v>
      </c>
      <c r="F8" s="39">
        <f t="shared" si="0"/>
        <v>0</v>
      </c>
      <c r="G8" s="39">
        <f t="shared" si="0"/>
        <v>70000</v>
      </c>
      <c r="H8" s="39">
        <f t="shared" si="0"/>
        <v>0</v>
      </c>
      <c r="I8" s="39">
        <f t="shared" si="0"/>
        <v>0</v>
      </c>
      <c r="J8" s="39">
        <f t="shared" si="0"/>
        <v>0</v>
      </c>
      <c r="K8" s="39">
        <f t="shared" si="0"/>
        <v>0</v>
      </c>
      <c r="L8" s="39">
        <f t="shared" si="0"/>
        <v>70000</v>
      </c>
      <c r="M8" s="39">
        <f t="shared" si="0"/>
        <v>0</v>
      </c>
      <c r="N8" s="39">
        <f t="shared" si="0"/>
        <v>0</v>
      </c>
      <c r="O8" s="39">
        <f t="shared" si="0"/>
        <v>0</v>
      </c>
      <c r="P8" s="39">
        <f t="shared" si="0"/>
        <v>0</v>
      </c>
      <c r="Q8" s="39">
        <f t="shared" si="0"/>
        <v>70000</v>
      </c>
      <c r="R8" s="39">
        <f t="shared" si="0"/>
        <v>0</v>
      </c>
      <c r="S8" s="39">
        <f t="shared" si="0"/>
        <v>0</v>
      </c>
      <c r="T8" s="39">
        <f t="shared" si="0"/>
        <v>0</v>
      </c>
      <c r="U8" s="39">
        <f t="shared" si="0"/>
        <v>0</v>
      </c>
    </row>
    <row r="9" spans="1:21">
      <c r="B9" s="22"/>
    </row>
    <row r="10" spans="1:21">
      <c r="B10" s="22"/>
    </row>
    <row r="11" spans="1:21">
      <c r="B11" s="21"/>
      <c r="C11" s="21"/>
    </row>
    <row r="12" spans="1:21">
      <c r="B12" s="21"/>
    </row>
    <row r="13" spans="1:21">
      <c r="B13" s="21"/>
    </row>
    <row r="14" spans="1:21">
      <c r="B14" s="21"/>
    </row>
    <row r="15" spans="1:21">
      <c r="B15" s="21"/>
    </row>
  </sheetData>
  <sheetProtection algorithmName="SHA-512" hashValue="lLzeGef1WATyFtafdYUEqyscKWREfMQHeijhx69l8oYtLOU5cwVKBuvW71rGpwwbWLNUkCGNjr/qHX9/3F7NCQ==" saltValue="yT19YHD3g6aKjDQcdMprtQ==" spinCount="100000" sheet="1" objects="1" scenarios="1" selectLockedCells="1" selectUnlockedCells="1"/>
  <mergeCells count="2">
    <mergeCell ref="A1:D1"/>
    <mergeCell ref="A4:D4"/>
  </mergeCells>
  <phoneticPr fontId="120" type="noConversion"/>
  <conditionalFormatting sqref="B6:K6">
    <cfRule type="cellIs" dxfId="14" priority="9" stopIfTrue="1" operator="lessThan">
      <formula>0</formula>
    </cfRule>
  </conditionalFormatting>
  <conditionalFormatting sqref="L6">
    <cfRule type="cellIs" dxfId="13" priority="8" stopIfTrue="1" operator="lessThan">
      <formula>0</formula>
    </cfRule>
  </conditionalFormatting>
  <conditionalFormatting sqref="M6">
    <cfRule type="cellIs" dxfId="12" priority="7" stopIfTrue="1" operator="lessThan">
      <formula>0</formula>
    </cfRule>
  </conditionalFormatting>
  <conditionalFormatting sqref="N6 P6 R6 T6">
    <cfRule type="cellIs" dxfId="11" priority="6" stopIfTrue="1" operator="lessThan">
      <formula>0</formula>
    </cfRule>
  </conditionalFormatting>
  <conditionalFormatting sqref="O6 Q6 S6 U6">
    <cfRule type="cellIs" dxfId="10" priority="5" stopIfTrue="1" operator="lessThan">
      <formula>0</formula>
    </cfRule>
  </conditionalFormatting>
  <pageMargins left="0.78740157499999996" right="0.78740157499999996" top="0.984251969" bottom="0.984251969" header="0.49212598499999999" footer="0.49212598499999999"/>
  <pageSetup paperSize="9" orientation="portrait" horizontalDpi="4294967292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32"/>
  <dimension ref="A1:U8"/>
  <sheetViews>
    <sheetView showGridLines="0" zoomScale="145" zoomScaleNormal="145" workbookViewId="0">
      <selection activeCell="J17" sqref="J17"/>
    </sheetView>
  </sheetViews>
  <sheetFormatPr defaultColWidth="7.140625" defaultRowHeight="12.75"/>
  <cols>
    <col min="1" max="1" width="24" style="3" customWidth="1"/>
    <col min="2" max="5" width="5.7109375" style="3" bestFit="1" customWidth="1"/>
    <col min="6" max="6" width="9.85546875" style="3" customWidth="1"/>
    <col min="7" max="10" width="5.7109375" style="3" bestFit="1" customWidth="1"/>
    <col min="11" max="11" width="9.85546875" style="3" customWidth="1"/>
    <col min="12" max="15" width="6.7109375" style="3" bestFit="1" customWidth="1"/>
    <col min="16" max="16" width="9.85546875" style="3" customWidth="1"/>
    <col min="17" max="20" width="6.7109375" style="3" bestFit="1" customWidth="1"/>
    <col min="21" max="21" width="9.85546875" style="3" customWidth="1"/>
    <col min="22" max="16384" width="7.140625" style="3"/>
  </cols>
  <sheetData>
    <row r="1" spans="1:21">
      <c r="A1" s="424"/>
      <c r="B1" s="424"/>
      <c r="C1" s="424"/>
      <c r="D1" s="424"/>
    </row>
    <row r="3" spans="1:21">
      <c r="A3" s="2" t="s">
        <v>188</v>
      </c>
    </row>
    <row r="5" spans="1:21">
      <c r="A5" s="2"/>
      <c r="B5" s="3" t="s">
        <v>67</v>
      </c>
    </row>
    <row r="6" spans="1:21">
      <c r="B6" s="24" t="s">
        <v>1</v>
      </c>
      <c r="C6" s="24" t="s">
        <v>2</v>
      </c>
      <c r="D6" s="24" t="s">
        <v>3</v>
      </c>
      <c r="E6" s="24" t="s">
        <v>4</v>
      </c>
      <c r="F6" s="24" t="s">
        <v>5</v>
      </c>
      <c r="G6" s="24" t="s">
        <v>14</v>
      </c>
      <c r="H6" s="24" t="s">
        <v>15</v>
      </c>
      <c r="I6" s="24" t="s">
        <v>16</v>
      </c>
      <c r="J6" s="24" t="s">
        <v>17</v>
      </c>
      <c r="K6" s="24" t="s">
        <v>18</v>
      </c>
      <c r="L6" s="24" t="s">
        <v>56</v>
      </c>
      <c r="M6" s="24" t="s">
        <v>57</v>
      </c>
      <c r="N6" s="24" t="s">
        <v>58</v>
      </c>
      <c r="O6" s="24" t="s">
        <v>59</v>
      </c>
      <c r="P6" s="24" t="s">
        <v>60</v>
      </c>
      <c r="Q6" s="24" t="s">
        <v>221</v>
      </c>
      <c r="R6" s="24" t="s">
        <v>222</v>
      </c>
      <c r="S6" s="24" t="s">
        <v>223</v>
      </c>
      <c r="T6" s="24" t="s">
        <v>224</v>
      </c>
      <c r="U6" s="24" t="s">
        <v>106</v>
      </c>
    </row>
    <row r="7" spans="1:21">
      <c r="A7" s="60" t="s">
        <v>78</v>
      </c>
      <c r="B7" s="17">
        <f>SUMPRODUCT('Q10.a-Preço-Outros Veíc. '!$B$11:$B$16,'Q9.a-Veic. Adm.'!D13:D18)</f>
        <v>0</v>
      </c>
      <c r="C7" s="17">
        <f>SUMPRODUCT('Q10.a-Preço-Outros Veíc. '!$B$11:$B$16,'Q9.a-Veic. Adm.'!E13:E18)</f>
        <v>0</v>
      </c>
      <c r="D7" s="17">
        <f>SUMPRODUCT('Q10.a-Preço-Outros Veíc. '!$B$11:$B$16,'Q9.a-Veic. Adm.'!F13:F18)</f>
        <v>0</v>
      </c>
      <c r="E7" s="17">
        <f>SUMPRODUCT('Q10.a-Preço-Outros Veíc. '!$B$11:$B$16,'Q9.a-Veic. Adm.'!G13:G18)</f>
        <v>0</v>
      </c>
      <c r="F7" s="17">
        <f>SUMPRODUCT('Q10.a-Preço-Outros Veíc. '!$B$11:$B$16,'Q9.a-Veic. Adm.'!H13:H18)</f>
        <v>13999.999999999996</v>
      </c>
      <c r="G7" s="17">
        <f>SUMPRODUCT('Q10.a-Preço-Outros Veíc. '!$B$11:$B$16,'Q9.a-Veic. Adm.'!I13:I18)</f>
        <v>0</v>
      </c>
      <c r="H7" s="17">
        <f>SUMPRODUCT('Q10.a-Preço-Outros Veíc. '!$B$11:$B$16,'Q9.a-Veic. Adm.'!J13:J18)</f>
        <v>0</v>
      </c>
      <c r="I7" s="17">
        <f>SUMPRODUCT('Q10.a-Preço-Outros Veíc. '!$B$11:$B$16,'Q9.a-Veic. Adm.'!K13:K18)</f>
        <v>0</v>
      </c>
      <c r="J7" s="17">
        <f>SUMPRODUCT('Q10.a-Preço-Outros Veíc. '!$B$11:$B$16,'Q9.a-Veic. Adm.'!L13:L18)</f>
        <v>0</v>
      </c>
      <c r="K7" s="17">
        <f>SUMPRODUCT('Q10.a-Preço-Outros Veíc. '!$B$11:$B$16,'Q9.a-Veic. Adm.'!M13:M18)</f>
        <v>13999.999999999996</v>
      </c>
      <c r="L7" s="17">
        <f>SUMPRODUCT('Q10.a-Preço-Outros Veíc. '!$B$11:$B$16,'Q9.a-Veic. Adm.'!N13:N18)</f>
        <v>0</v>
      </c>
      <c r="M7" s="17">
        <f>SUMPRODUCT('Q10.a-Preço-Outros Veíc. '!$B$11:$B$16,'Q9.a-Veic. Adm.'!O13:O18)</f>
        <v>0</v>
      </c>
      <c r="N7" s="17">
        <f>SUMPRODUCT('Q10.a-Preço-Outros Veíc. '!$B$11:$B$16,'Q9.a-Veic. Adm.'!P13:P18)</f>
        <v>0</v>
      </c>
      <c r="O7" s="17">
        <f>SUMPRODUCT('Q10.a-Preço-Outros Veíc. '!$B$11:$B$16,'Q9.a-Veic. Adm.'!Q13:Q18)</f>
        <v>0</v>
      </c>
      <c r="P7" s="17">
        <f>SUMPRODUCT('Q10.a-Preço-Outros Veíc. '!$B$11:$B$16,'Q9.a-Veic. Adm.'!R13:R18)</f>
        <v>13999.999999999996</v>
      </c>
      <c r="Q7" s="17">
        <f>SUMPRODUCT('Q10.a-Preço-Outros Veíc. '!$B$11:$B$16,'Q9.a-Veic. Adm.'!S13:S18)</f>
        <v>0</v>
      </c>
      <c r="R7" s="17">
        <f>SUMPRODUCT('Q10.a-Preço-Outros Veíc. '!$B$11:$B$16,'Q9.a-Veic. Adm.'!T13:T18)</f>
        <v>0</v>
      </c>
      <c r="S7" s="17">
        <f>SUMPRODUCT('Q10.a-Preço-Outros Veíc. '!$B$11:$B$16,'Q9.a-Veic. Adm.'!U13:U18)</f>
        <v>0</v>
      </c>
      <c r="T7" s="17">
        <f>SUMPRODUCT('Q10.a-Preço-Outros Veíc. '!$B$11:$B$16,'Q9.a-Veic. Adm.'!V13:V18)</f>
        <v>0</v>
      </c>
      <c r="U7" s="17">
        <f>SUMPRODUCT('Q10.a-Preço-Outros Veíc. '!$B$11:$B$16,'Q9.a-Veic. Adm.'!W13:W18)</f>
        <v>13999.999999999996</v>
      </c>
    </row>
    <row r="8" spans="1:21">
      <c r="A8" s="39" t="s">
        <v>68</v>
      </c>
      <c r="B8" s="39">
        <v>0</v>
      </c>
      <c r="C8" s="39">
        <v>0</v>
      </c>
      <c r="D8" s="39">
        <v>0</v>
      </c>
      <c r="E8" s="39">
        <v>0</v>
      </c>
      <c r="F8" s="39">
        <v>17160</v>
      </c>
      <c r="G8" s="39">
        <v>0</v>
      </c>
      <c r="H8" s="39">
        <v>0</v>
      </c>
      <c r="I8" s="39">
        <v>0</v>
      </c>
      <c r="J8" s="39">
        <v>0</v>
      </c>
      <c r="K8" s="39">
        <v>17160</v>
      </c>
      <c r="L8" s="39">
        <v>0</v>
      </c>
      <c r="M8" s="39">
        <v>0</v>
      </c>
      <c r="N8" s="39">
        <v>0</v>
      </c>
      <c r="O8" s="39">
        <v>0</v>
      </c>
      <c r="P8" s="39">
        <v>17160</v>
      </c>
      <c r="Q8" s="39">
        <v>0</v>
      </c>
      <c r="R8" s="39">
        <v>0</v>
      </c>
      <c r="S8" s="39">
        <v>0</v>
      </c>
      <c r="T8" s="39">
        <v>0</v>
      </c>
      <c r="U8" s="39">
        <v>17160</v>
      </c>
    </row>
  </sheetData>
  <sheetProtection algorithmName="SHA-512" hashValue="utLeobBAzSHtJ/eSux4SXoS1HvcSJtJEet3uOg9uT3TEEp2YbBLRwGWM338mL58HTU+RunX1S9CaSfzFfZkvPA==" saltValue="hb79Hb+i+Oyh8eTSvFlSaQ==" spinCount="100000" sheet="1" objects="1" scenarios="1" selectLockedCells="1" selectUnlockedCells="1"/>
  <mergeCells count="1">
    <mergeCell ref="A1:D1"/>
  </mergeCells>
  <phoneticPr fontId="120" type="noConversion"/>
  <conditionalFormatting sqref="B6:I6">
    <cfRule type="cellIs" dxfId="9" priority="12" stopIfTrue="1" operator="lessThan">
      <formula>0</formula>
    </cfRule>
  </conditionalFormatting>
  <conditionalFormatting sqref="J6:T6">
    <cfRule type="cellIs" dxfId="8" priority="11" stopIfTrue="1" operator="lessThan">
      <formula>0</formula>
    </cfRule>
  </conditionalFormatting>
  <conditionalFormatting sqref="U6">
    <cfRule type="cellIs" dxfId="7" priority="5" stopIfTrue="1" operator="lessThan">
      <formula>0</formula>
    </cfRule>
  </conditionalFormatting>
  <pageMargins left="0.78740157499999996" right="0.78740157499999996" top="0.984251969" bottom="0.984251969" header="0.49212598499999999" footer="0.49212598499999999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32"/>
  <sheetViews>
    <sheetView showGridLines="0" zoomScale="145" zoomScaleNormal="145" workbookViewId="0">
      <selection activeCell="E14" sqref="E14"/>
    </sheetView>
  </sheetViews>
  <sheetFormatPr defaultColWidth="8.85546875" defaultRowHeight="12.75"/>
  <cols>
    <col min="1" max="1" width="8.85546875" style="3"/>
    <col min="2" max="2" width="13.140625" style="3" customWidth="1"/>
    <col min="3" max="3" width="24.5703125" style="3" bestFit="1" customWidth="1"/>
    <col min="4" max="4" width="14.28515625" style="3" bestFit="1" customWidth="1"/>
    <col min="5" max="5" width="12.7109375" style="3" customWidth="1"/>
    <col min="6" max="6" width="8.85546875" style="3"/>
    <col min="7" max="7" width="16.28515625" style="3" bestFit="1" customWidth="1"/>
    <col min="8" max="16384" width="8.85546875" style="3"/>
  </cols>
  <sheetData>
    <row r="3" spans="1:7">
      <c r="D3" s="91"/>
    </row>
    <row r="4" spans="1:7">
      <c r="C4" s="8"/>
      <c r="D4" s="4" t="s">
        <v>232</v>
      </c>
      <c r="E4" s="13"/>
    </row>
    <row r="5" spans="1:7">
      <c r="A5" s="77"/>
      <c r="C5" s="8" t="s">
        <v>253</v>
      </c>
      <c r="D5" s="262">
        <f>SUM(D6:D7)</f>
        <v>3894381.2448000005</v>
      </c>
      <c r="E5" s="68"/>
      <c r="F5" s="77"/>
      <c r="G5" s="77"/>
    </row>
    <row r="6" spans="1:7">
      <c r="A6" s="77"/>
      <c r="C6" s="8" t="s">
        <v>252</v>
      </c>
      <c r="D6" s="263">
        <f>'quadro operacional'!R52*12</f>
        <v>3605908.5600000005</v>
      </c>
      <c r="E6" s="102">
        <f>D6/12</f>
        <v>300492.38000000006</v>
      </c>
      <c r="F6" s="77"/>
      <c r="G6" s="77"/>
    </row>
    <row r="7" spans="1:7">
      <c r="A7" s="77"/>
      <c r="B7" s="94">
        <v>0.08</v>
      </c>
      <c r="C7" s="8" t="s">
        <v>251</v>
      </c>
      <c r="D7" s="262">
        <f>D6*B7</f>
        <v>288472.68480000005</v>
      </c>
      <c r="E7" s="68"/>
      <c r="F7" s="77"/>
      <c r="G7" s="77"/>
    </row>
    <row r="8" spans="1:7">
      <c r="C8" s="8" t="s">
        <v>111</v>
      </c>
      <c r="D8" s="262">
        <f>D5/D13/12</f>
        <v>11590.420371428574</v>
      </c>
      <c r="E8" s="68"/>
    </row>
    <row r="9" spans="1:7">
      <c r="C9" s="8" t="s">
        <v>126</v>
      </c>
      <c r="D9" s="264">
        <v>3.28</v>
      </c>
    </row>
    <row r="10" spans="1:7">
      <c r="C10" s="8" t="s">
        <v>275</v>
      </c>
      <c r="D10" s="265">
        <v>2.86</v>
      </c>
      <c r="G10" s="58"/>
    </row>
    <row r="11" spans="1:7" hidden="1">
      <c r="C11" s="8" t="s">
        <v>127</v>
      </c>
      <c r="D11" s="266"/>
    </row>
    <row r="12" spans="1:7">
      <c r="C12" s="8" t="s">
        <v>112</v>
      </c>
      <c r="D12" s="266">
        <v>0.25</v>
      </c>
      <c r="G12" s="70"/>
    </row>
    <row r="13" spans="1:7">
      <c r="C13" s="8" t="s">
        <v>109</v>
      </c>
      <c r="D13" s="267">
        <f>D30</f>
        <v>28</v>
      </c>
      <c r="E13" s="21"/>
    </row>
    <row r="14" spans="1:7">
      <c r="C14" s="8" t="s">
        <v>110</v>
      </c>
      <c r="D14" s="265">
        <f>ROUNDUP(D13*1.12,0)</f>
        <v>32</v>
      </c>
      <c r="E14" s="21"/>
    </row>
    <row r="16" spans="1:7">
      <c r="B16" s="93"/>
      <c r="C16" s="93"/>
      <c r="D16" s="4" t="s">
        <v>232</v>
      </c>
      <c r="E16" s="13"/>
    </row>
    <row r="17" spans="2:6" hidden="1">
      <c r="B17" s="406" t="s">
        <v>116</v>
      </c>
      <c r="C17" s="8" t="s">
        <v>117</v>
      </c>
      <c r="D17" s="17">
        <v>0</v>
      </c>
      <c r="E17" s="28"/>
    </row>
    <row r="18" spans="2:6" hidden="1">
      <c r="B18" s="406"/>
      <c r="C18" s="8" t="s">
        <v>118</v>
      </c>
      <c r="D18" s="17">
        <v>0</v>
      </c>
      <c r="E18" s="28"/>
    </row>
    <row r="19" spans="2:6" hidden="1">
      <c r="B19" s="406"/>
      <c r="C19" s="8" t="s">
        <v>119</v>
      </c>
      <c r="D19" s="17">
        <v>0</v>
      </c>
      <c r="E19" s="28"/>
    </row>
    <row r="20" spans="2:6" hidden="1">
      <c r="B20" s="406"/>
      <c r="C20" s="8" t="s">
        <v>120</v>
      </c>
      <c r="D20" s="17">
        <v>0</v>
      </c>
      <c r="E20" s="28"/>
      <c r="F20" s="3" t="s">
        <v>123</v>
      </c>
    </row>
    <row r="21" spans="2:6" hidden="1">
      <c r="B21" s="406"/>
      <c r="C21" s="8" t="s">
        <v>121</v>
      </c>
      <c r="D21" s="17">
        <v>0</v>
      </c>
      <c r="E21" s="28"/>
    </row>
    <row r="22" spans="2:6" hidden="1">
      <c r="B22" s="406"/>
      <c r="C22" s="8" t="s">
        <v>122</v>
      </c>
      <c r="D22" s="17">
        <v>0</v>
      </c>
      <c r="E22" s="28"/>
      <c r="F22" s="3" t="s">
        <v>123</v>
      </c>
    </row>
    <row r="23" spans="2:6" hidden="1">
      <c r="B23" s="406"/>
      <c r="C23" s="8" t="s">
        <v>109</v>
      </c>
      <c r="D23" s="17">
        <v>0</v>
      </c>
      <c r="E23" s="28"/>
    </row>
    <row r="24" spans="2:6" hidden="1">
      <c r="B24" s="406"/>
      <c r="C24" s="8" t="s">
        <v>124</v>
      </c>
      <c r="D24" s="15"/>
      <c r="E24" s="6"/>
    </row>
    <row r="25" spans="2:6" hidden="1">
      <c r="B25" s="406"/>
      <c r="C25" s="8" t="s">
        <v>125</v>
      </c>
      <c r="D25" s="15"/>
      <c r="E25" s="6"/>
    </row>
    <row r="26" spans="2:6" hidden="1">
      <c r="D26" s="6"/>
      <c r="E26" s="6"/>
    </row>
    <row r="27" spans="2:6">
      <c r="B27" s="405" t="s">
        <v>212</v>
      </c>
      <c r="C27" s="8" t="s">
        <v>117</v>
      </c>
      <c r="D27" s="268">
        <f>'quadro operacional'!R16</f>
        <v>10855.050000000001</v>
      </c>
      <c r="E27" s="28"/>
      <c r="F27" s="21"/>
    </row>
    <row r="28" spans="2:6">
      <c r="B28" s="405"/>
      <c r="C28" s="8" t="s">
        <v>119</v>
      </c>
      <c r="D28" s="268">
        <f>'quadro operacional'!R34</f>
        <v>8531.94</v>
      </c>
      <c r="E28" s="28"/>
    </row>
    <row r="29" spans="2:6">
      <c r="B29" s="405"/>
      <c r="C29" s="8" t="s">
        <v>121</v>
      </c>
      <c r="D29" s="268">
        <f>'quadro operacional'!R50</f>
        <v>6888.380000000001</v>
      </c>
      <c r="E29" s="28"/>
    </row>
    <row r="30" spans="2:6">
      <c r="B30" s="405"/>
      <c r="C30" s="8" t="s">
        <v>109</v>
      </c>
      <c r="D30" s="262">
        <f>'quadro operacional'!C16</f>
        <v>28</v>
      </c>
      <c r="E30" s="28"/>
    </row>
    <row r="31" spans="2:6">
      <c r="B31" s="405"/>
      <c r="C31" s="8" t="s">
        <v>125</v>
      </c>
      <c r="D31" s="264">
        <f>D9</f>
        <v>3.28</v>
      </c>
      <c r="E31" s="28"/>
    </row>
    <row r="32" spans="2:6">
      <c r="B32" s="405"/>
      <c r="C32" s="8" t="s">
        <v>124</v>
      </c>
      <c r="D32" s="264">
        <f>D10</f>
        <v>2.86</v>
      </c>
    </row>
  </sheetData>
  <sheetProtection algorithmName="SHA-512" hashValue="EQZk/jgwl8IuFC6hnjlYl7kCPkIV0EgeaOCuvzH8Qk4UVv0SgTXnXmP3ApWDHeKREr1gDBJCQOJbU6rbE1iF6w==" saltValue="PGnp5cM4r6TIbeoXFpj67w==" spinCount="100000" sheet="1" objects="1" scenarios="1" selectLockedCells="1" selectUnlockedCells="1"/>
  <mergeCells count="2">
    <mergeCell ref="B27:B32"/>
    <mergeCell ref="B17:B25"/>
  </mergeCells>
  <phoneticPr fontId="120" type="noConversion"/>
  <pageMargins left="0.511811024" right="0.511811024" top="0.78740157499999996" bottom="0.78740157499999996" header="0.31496062000000002" footer="0.31496062000000002"/>
  <pageSetup orientation="portrait" horizontalDpi="300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4"/>
  <sheetViews>
    <sheetView showGridLines="0" topLeftCell="A26" zoomScaleNormal="100" workbookViewId="0">
      <selection activeCell="I46" sqref="I46"/>
    </sheetView>
  </sheetViews>
  <sheetFormatPr defaultColWidth="7.140625" defaultRowHeight="12.75"/>
  <cols>
    <col min="1" max="1" width="54.85546875" style="270" customWidth="1"/>
    <col min="2" max="2" width="13.85546875" style="270" bestFit="1" customWidth="1"/>
    <col min="3" max="3" width="11.7109375" style="270" bestFit="1" customWidth="1"/>
    <col min="4" max="4" width="8.85546875" style="270" bestFit="1" customWidth="1"/>
    <col min="5" max="5" width="10.5703125" style="270" bestFit="1" customWidth="1"/>
    <col min="6" max="6" width="9.28515625" style="270" customWidth="1"/>
    <col min="7" max="7" width="10.7109375" style="270" customWidth="1"/>
    <col min="8" max="8" width="9.85546875" style="270" customWidth="1"/>
    <col min="9" max="9" width="10.42578125" style="270" customWidth="1"/>
    <col min="10" max="10" width="10" style="270" customWidth="1"/>
    <col min="11" max="11" width="10.5703125" style="270" customWidth="1"/>
    <col min="12" max="12" width="10.85546875" style="270" customWidth="1"/>
    <col min="13" max="13" width="9.5703125" style="270" customWidth="1"/>
    <col min="14" max="14" width="10.85546875" style="270" customWidth="1"/>
    <col min="15" max="15" width="9.85546875" style="270" customWidth="1"/>
    <col min="16" max="17" width="10.28515625" style="270" customWidth="1"/>
    <col min="18" max="18" width="10.42578125" style="270" customWidth="1"/>
    <col min="19" max="20" width="10" style="270" customWidth="1"/>
    <col min="21" max="21" width="10.28515625" style="270" customWidth="1"/>
    <col min="22" max="22" width="9.42578125" style="270" bestFit="1" customWidth="1"/>
    <col min="23" max="16384" width="7.140625" style="270"/>
  </cols>
  <sheetData>
    <row r="1" spans="1:22" ht="15.75">
      <c r="A1" s="429" t="s">
        <v>240</v>
      </c>
      <c r="B1" s="429"/>
      <c r="C1" s="429"/>
      <c r="D1" s="429"/>
    </row>
    <row r="2" spans="1:22" hidden="1"/>
    <row r="3" spans="1:22" hidden="1"/>
    <row r="4" spans="1:22" hidden="1"/>
    <row r="5" spans="1:22">
      <c r="A5" s="339"/>
      <c r="B5" s="339"/>
    </row>
    <row r="6" spans="1:22">
      <c r="A6" s="340" t="s">
        <v>113</v>
      </c>
      <c r="B6" s="100">
        <f>'Q2.Dados Operacionais'!D14</f>
        <v>32</v>
      </c>
    </row>
    <row r="7" spans="1:22">
      <c r="A7" s="341" t="s">
        <v>282</v>
      </c>
      <c r="B7" s="100">
        <v>400</v>
      </c>
    </row>
    <row r="8" spans="1:22">
      <c r="A8" s="342"/>
    </row>
    <row r="9" spans="1:22">
      <c r="A9" s="342"/>
    </row>
    <row r="10" spans="1:22">
      <c r="A10" s="285"/>
      <c r="B10" s="303" t="s">
        <v>50</v>
      </c>
      <c r="C10" s="303" t="s">
        <v>1</v>
      </c>
      <c r="D10" s="303" t="s">
        <v>2</v>
      </c>
      <c r="E10" s="303" t="s">
        <v>3</v>
      </c>
      <c r="F10" s="303" t="s">
        <v>4</v>
      </c>
      <c r="G10" s="303" t="s">
        <v>5</v>
      </c>
      <c r="H10" s="303" t="s">
        <v>14</v>
      </c>
      <c r="I10" s="303" t="s">
        <v>15</v>
      </c>
      <c r="J10" s="303" t="s">
        <v>16</v>
      </c>
      <c r="K10" s="303" t="s">
        <v>17</v>
      </c>
      <c r="L10" s="303" t="s">
        <v>18</v>
      </c>
      <c r="M10" s="303" t="s">
        <v>56</v>
      </c>
      <c r="N10" s="303" t="s">
        <v>57</v>
      </c>
      <c r="O10" s="303" t="s">
        <v>58</v>
      </c>
      <c r="P10" s="303" t="s">
        <v>59</v>
      </c>
      <c r="Q10" s="303" t="s">
        <v>60</v>
      </c>
      <c r="R10" s="303" t="s">
        <v>221</v>
      </c>
      <c r="S10" s="303" t="s">
        <v>222</v>
      </c>
      <c r="T10" s="303" t="s">
        <v>223</v>
      </c>
      <c r="U10" s="303" t="s">
        <v>224</v>
      </c>
      <c r="V10" s="303" t="s">
        <v>225</v>
      </c>
    </row>
    <row r="11" spans="1:22">
      <c r="A11" s="342" t="s">
        <v>259</v>
      </c>
      <c r="B11" s="100">
        <f>B7*D40</f>
        <v>1226624</v>
      </c>
      <c r="C11" s="100"/>
      <c r="D11" s="100"/>
      <c r="E11" s="100"/>
      <c r="F11" s="100"/>
      <c r="G11" s="100"/>
      <c r="H11" s="100"/>
      <c r="I11" s="100"/>
      <c r="J11" s="100"/>
      <c r="K11" s="100"/>
      <c r="L11" s="100"/>
      <c r="M11" s="100"/>
      <c r="N11" s="100"/>
      <c r="O11" s="100"/>
      <c r="P11" s="100"/>
      <c r="Q11" s="100"/>
      <c r="R11" s="100"/>
      <c r="S11" s="100"/>
      <c r="T11" s="100"/>
      <c r="U11" s="100"/>
      <c r="V11" s="100"/>
    </row>
    <row r="12" spans="1:22">
      <c r="A12" s="342" t="s">
        <v>258</v>
      </c>
      <c r="B12" s="100">
        <f>E47</f>
        <v>1529009.58336</v>
      </c>
      <c r="C12" s="100"/>
      <c r="D12" s="100"/>
      <c r="E12" s="100"/>
      <c r="F12" s="100"/>
      <c r="G12" s="100"/>
      <c r="H12" s="100">
        <f>B12*5%</f>
        <v>76450.479168000005</v>
      </c>
      <c r="I12" s="100"/>
      <c r="J12" s="100"/>
      <c r="K12" s="100"/>
      <c r="L12" s="100"/>
      <c r="M12" s="100"/>
      <c r="N12" s="100">
        <f>H12</f>
        <v>76450.479168000005</v>
      </c>
      <c r="O12" s="100"/>
      <c r="P12" s="100"/>
      <c r="Q12" s="100"/>
      <c r="R12" s="100"/>
      <c r="S12" s="100"/>
      <c r="T12" s="100">
        <f>N12</f>
        <v>76450.479168000005</v>
      </c>
      <c r="U12" s="100"/>
      <c r="V12" s="100"/>
    </row>
    <row r="13" spans="1:22">
      <c r="A13" s="342" t="s">
        <v>260</v>
      </c>
      <c r="B13" s="100">
        <f>C52</f>
        <v>306633.59999999998</v>
      </c>
      <c r="C13" s="100"/>
      <c r="D13" s="100"/>
      <c r="E13" s="100"/>
      <c r="F13" s="100"/>
      <c r="G13" s="100"/>
      <c r="H13" s="100"/>
      <c r="I13" s="100"/>
      <c r="J13" s="100"/>
      <c r="K13" s="100"/>
      <c r="L13" s="100"/>
      <c r="M13" s="100">
        <f>B13*10%</f>
        <v>30663.360000000001</v>
      </c>
      <c r="N13" s="100"/>
      <c r="O13" s="100"/>
      <c r="P13" s="100"/>
      <c r="Q13" s="100"/>
      <c r="R13" s="100"/>
      <c r="S13" s="100"/>
      <c r="T13" s="100"/>
      <c r="U13" s="100"/>
      <c r="V13" s="100"/>
    </row>
    <row r="14" spans="1:22">
      <c r="A14" s="342"/>
      <c r="B14" s="341"/>
      <c r="C14" s="341"/>
      <c r="D14" s="341"/>
      <c r="E14" s="341"/>
      <c r="F14" s="341"/>
      <c r="G14" s="341"/>
      <c r="H14" s="341"/>
      <c r="I14" s="341"/>
      <c r="J14" s="341"/>
      <c r="K14" s="341"/>
      <c r="L14" s="341"/>
      <c r="M14" s="341"/>
      <c r="N14" s="341"/>
      <c r="O14" s="341"/>
      <c r="P14" s="341"/>
      <c r="Q14" s="341"/>
      <c r="R14" s="341"/>
      <c r="S14" s="341"/>
      <c r="T14" s="341"/>
      <c r="U14" s="341"/>
      <c r="V14" s="341"/>
    </row>
    <row r="15" spans="1:22">
      <c r="A15" s="285"/>
      <c r="F15" s="340"/>
      <c r="L15" s="294"/>
      <c r="R15" s="61"/>
    </row>
    <row r="16" spans="1:22">
      <c r="A16" s="285"/>
      <c r="B16" s="303" t="s">
        <v>31</v>
      </c>
      <c r="C16" s="303" t="s">
        <v>32</v>
      </c>
      <c r="D16" s="340"/>
      <c r="E16" s="340"/>
      <c r="F16" s="340"/>
    </row>
    <row r="17" spans="1:15">
      <c r="A17" s="342" t="s">
        <v>30</v>
      </c>
      <c r="B17" s="100">
        <f>'Q8.b-Compra-Veíc. oper.'!B8*C17</f>
        <v>21721.34304122092</v>
      </c>
      <c r="C17" s="65">
        <v>3.0000000000000001E-3</v>
      </c>
      <c r="D17" s="295"/>
      <c r="E17" s="295"/>
      <c r="F17" s="340"/>
    </row>
    <row r="18" spans="1:15">
      <c r="F18" s="340"/>
    </row>
    <row r="21" spans="1:15">
      <c r="A21" s="430" t="s">
        <v>137</v>
      </c>
      <c r="B21" s="430"/>
      <c r="C21" s="430"/>
    </row>
    <row r="22" spans="1:15" ht="46.15" customHeight="1">
      <c r="A22" s="431" t="s">
        <v>138</v>
      </c>
      <c r="B22" s="432"/>
      <c r="C22" s="433"/>
    </row>
    <row r="23" spans="1:15" ht="38.25">
      <c r="A23" s="265"/>
      <c r="B23" s="274" t="s">
        <v>134</v>
      </c>
      <c r="C23" s="274" t="s">
        <v>136</v>
      </c>
    </row>
    <row r="24" spans="1:15">
      <c r="A24" s="265" t="s">
        <v>157</v>
      </c>
      <c r="B24" s="289">
        <v>2125.64</v>
      </c>
      <c r="C24" s="289">
        <f>B24*(1+$B$28)</f>
        <v>2550.7679999999996</v>
      </c>
    </row>
    <row r="25" spans="1:15">
      <c r="A25" s="265" t="s">
        <v>135</v>
      </c>
      <c r="B25" s="289">
        <v>1755.01</v>
      </c>
      <c r="C25" s="289">
        <f t="shared" ref="C25:C27" si="0">B25*(1+$B$28)</f>
        <v>2106.0119999999997</v>
      </c>
    </row>
    <row r="26" spans="1:15">
      <c r="A26" s="265" t="s">
        <v>160</v>
      </c>
      <c r="B26" s="289">
        <v>1028.02</v>
      </c>
      <c r="C26" s="289">
        <f t="shared" si="0"/>
        <v>1233.624</v>
      </c>
    </row>
    <row r="27" spans="1:15">
      <c r="A27" s="265" t="s">
        <v>189</v>
      </c>
      <c r="B27" s="289">
        <v>154.33000000000001</v>
      </c>
      <c r="C27" s="289">
        <f t="shared" si="0"/>
        <v>185.196</v>
      </c>
      <c r="F27" s="270" t="s">
        <v>281</v>
      </c>
      <c r="G27" s="343"/>
      <c r="H27" s="343"/>
      <c r="I27" s="343"/>
      <c r="J27" s="343"/>
      <c r="K27" s="343"/>
      <c r="L27" s="343"/>
      <c r="M27" s="343"/>
      <c r="N27" s="343"/>
      <c r="O27" s="343"/>
    </row>
    <row r="28" spans="1:15">
      <c r="A28" s="265" t="s">
        <v>161</v>
      </c>
      <c r="B28" s="344">
        <v>0.2</v>
      </c>
      <c r="C28" s="345"/>
    </row>
    <row r="30" spans="1:15">
      <c r="A30" s="265" t="s">
        <v>152</v>
      </c>
      <c r="B30" s="283" t="s">
        <v>132</v>
      </c>
      <c r="C30" s="283" t="s">
        <v>139</v>
      </c>
      <c r="D30" s="283" t="s">
        <v>13</v>
      </c>
      <c r="E30" s="298"/>
    </row>
    <row r="31" spans="1:15">
      <c r="A31" s="265" t="s">
        <v>143</v>
      </c>
      <c r="B31" s="276">
        <v>1.95</v>
      </c>
      <c r="C31" s="283" t="s">
        <v>65</v>
      </c>
      <c r="D31" s="286">
        <f>B31*$B$6</f>
        <v>62.4</v>
      </c>
      <c r="E31" s="346"/>
    </row>
    <row r="32" spans="1:15">
      <c r="A32" s="265" t="s">
        <v>144</v>
      </c>
      <c r="B32" s="276">
        <v>3</v>
      </c>
      <c r="C32" s="283" t="s">
        <v>65</v>
      </c>
      <c r="D32" s="286">
        <f t="shared" ref="D32:D39" si="1">B32*$B$6</f>
        <v>96</v>
      </c>
      <c r="E32" s="346"/>
    </row>
    <row r="33" spans="1:9">
      <c r="A33" s="265" t="s">
        <v>145</v>
      </c>
      <c r="B33" s="276">
        <v>4.3</v>
      </c>
      <c r="C33" s="283" t="s">
        <v>65</v>
      </c>
      <c r="D33" s="286">
        <f t="shared" si="1"/>
        <v>137.6</v>
      </c>
      <c r="E33" s="346"/>
    </row>
    <row r="34" spans="1:9">
      <c r="A34" s="265" t="s">
        <v>146</v>
      </c>
      <c r="B34" s="276">
        <v>2</v>
      </c>
      <c r="C34" s="283" t="s">
        <v>65</v>
      </c>
      <c r="D34" s="286">
        <f t="shared" si="1"/>
        <v>64</v>
      </c>
      <c r="E34" s="346"/>
    </row>
    <row r="35" spans="1:9">
      <c r="A35" s="265" t="s">
        <v>147</v>
      </c>
      <c r="B35" s="276">
        <v>0.93</v>
      </c>
      <c r="C35" s="283" t="s">
        <v>65</v>
      </c>
      <c r="D35" s="286">
        <f t="shared" si="1"/>
        <v>29.76</v>
      </c>
      <c r="E35" s="346"/>
    </row>
    <row r="36" spans="1:9">
      <c r="A36" s="265" t="s">
        <v>148</v>
      </c>
      <c r="B36" s="276">
        <v>0.53</v>
      </c>
      <c r="C36" s="283" t="s">
        <v>65</v>
      </c>
      <c r="D36" s="286">
        <f t="shared" si="1"/>
        <v>16.96</v>
      </c>
      <c r="E36" s="346"/>
    </row>
    <row r="37" spans="1:9">
      <c r="A37" s="265" t="s">
        <v>149</v>
      </c>
      <c r="B37" s="276">
        <v>1.1200000000000001</v>
      </c>
      <c r="C37" s="283" t="s">
        <v>65</v>
      </c>
      <c r="D37" s="286">
        <f t="shared" si="1"/>
        <v>35.840000000000003</v>
      </c>
      <c r="E37" s="346"/>
    </row>
    <row r="38" spans="1:9">
      <c r="A38" s="265" t="s">
        <v>150</v>
      </c>
      <c r="B38" s="276">
        <v>14</v>
      </c>
      <c r="C38" s="283" t="s">
        <v>65</v>
      </c>
      <c r="D38" s="286">
        <f t="shared" si="1"/>
        <v>448</v>
      </c>
      <c r="E38" s="346"/>
    </row>
    <row r="39" spans="1:9">
      <c r="A39" s="265" t="s">
        <v>151</v>
      </c>
      <c r="B39" s="276">
        <v>68</v>
      </c>
      <c r="C39" s="283" t="s">
        <v>65</v>
      </c>
      <c r="D39" s="286">
        <f t="shared" si="1"/>
        <v>2176</v>
      </c>
      <c r="E39" s="346"/>
    </row>
    <row r="40" spans="1:9">
      <c r="C40" s="265" t="s">
        <v>12</v>
      </c>
      <c r="D40" s="286">
        <f>SUM(D31:D39)</f>
        <v>3066.56</v>
      </c>
      <c r="E40" s="290"/>
    </row>
    <row r="42" spans="1:9">
      <c r="A42" s="265"/>
      <c r="B42" s="283" t="s">
        <v>132</v>
      </c>
      <c r="C42" s="283" t="s">
        <v>162</v>
      </c>
      <c r="D42" s="286" t="s">
        <v>154</v>
      </c>
      <c r="E42" s="101" t="s">
        <v>155</v>
      </c>
    </row>
    <row r="43" spans="1:9">
      <c r="A43" s="265" t="s">
        <v>153</v>
      </c>
      <c r="B43" s="276">
        <f>B31+B34+B35+B36+B37+B39</f>
        <v>74.53</v>
      </c>
      <c r="C43" s="283" t="s">
        <v>65</v>
      </c>
      <c r="D43" s="286">
        <f>B43*$B$6</f>
        <v>2384.96</v>
      </c>
      <c r="E43" s="100">
        <f>(D43*C27)</f>
        <v>441685.05216000002</v>
      </c>
      <c r="G43" s="347"/>
      <c r="I43" s="294"/>
    </row>
    <row r="44" spans="1:9">
      <c r="A44" s="265" t="s">
        <v>156</v>
      </c>
      <c r="B44" s="276">
        <f>B32</f>
        <v>3</v>
      </c>
      <c r="C44" s="283" t="s">
        <v>65</v>
      </c>
      <c r="D44" s="286">
        <f t="shared" ref="D44:D46" si="2">B44*$B$6</f>
        <v>96</v>
      </c>
      <c r="E44" s="100">
        <f>D44*C24</f>
        <v>244873.72799999994</v>
      </c>
      <c r="I44" s="294"/>
    </row>
    <row r="45" spans="1:9">
      <c r="A45" s="265" t="s">
        <v>158</v>
      </c>
      <c r="B45" s="276">
        <f>B33</f>
        <v>4.3</v>
      </c>
      <c r="C45" s="283" t="s">
        <v>65</v>
      </c>
      <c r="D45" s="286">
        <f t="shared" si="2"/>
        <v>137.6</v>
      </c>
      <c r="E45" s="100">
        <f>D45*C25</f>
        <v>289787.25119999994</v>
      </c>
      <c r="I45" s="294"/>
    </row>
    <row r="46" spans="1:9">
      <c r="A46" s="265" t="s">
        <v>159</v>
      </c>
      <c r="B46" s="276">
        <f>B38</f>
        <v>14</v>
      </c>
      <c r="C46" s="283" t="s">
        <v>65</v>
      </c>
      <c r="D46" s="286">
        <f t="shared" si="2"/>
        <v>448</v>
      </c>
      <c r="E46" s="100">
        <f>D46*C26</f>
        <v>552663.55200000003</v>
      </c>
      <c r="I46" s="294"/>
    </row>
    <row r="47" spans="1:9">
      <c r="D47" s="286" t="s">
        <v>13</v>
      </c>
      <c r="E47" s="100">
        <f>SUM(E43:E46)</f>
        <v>1529009.58336</v>
      </c>
      <c r="I47" s="294"/>
    </row>
    <row r="48" spans="1:9">
      <c r="D48" s="346"/>
      <c r="E48" s="290"/>
    </row>
    <row r="49" spans="1:5">
      <c r="A49" s="265" t="s">
        <v>140</v>
      </c>
      <c r="B49" s="286">
        <v>6844.5</v>
      </c>
      <c r="C49" s="277">
        <f>B49*B6</f>
        <v>219024</v>
      </c>
      <c r="D49" s="291"/>
      <c r="E49" s="290"/>
    </row>
    <row r="50" spans="1:5">
      <c r="A50" s="265" t="s">
        <v>141</v>
      </c>
      <c r="B50" s="348">
        <v>0.2</v>
      </c>
      <c r="C50" s="277">
        <f>C49*B50</f>
        <v>43804.800000000003</v>
      </c>
      <c r="E50" s="290"/>
    </row>
    <row r="51" spans="1:5">
      <c r="A51" s="265" t="s">
        <v>142</v>
      </c>
      <c r="B51" s="348">
        <v>0.2</v>
      </c>
      <c r="C51" s="277">
        <f>C49*B51</f>
        <v>43804.800000000003</v>
      </c>
      <c r="E51" s="290"/>
    </row>
    <row r="52" spans="1:5">
      <c r="B52" s="265" t="s">
        <v>13</v>
      </c>
      <c r="C52" s="100">
        <f>SUM(C49:C51)</f>
        <v>306633.59999999998</v>
      </c>
      <c r="E52" s="290"/>
    </row>
    <row r="53" spans="1:5">
      <c r="E53" s="290"/>
    </row>
    <row r="54" spans="1:5">
      <c r="E54" s="290"/>
    </row>
  </sheetData>
  <sheetProtection algorithmName="SHA-512" hashValue="M+hDunQC/Mb90z+C0GyD1xSI39bnqS11qhi7WHLruiJpwmLQz4SZIKvzj4Rt64Ib0/P7Je8udohnOhvSgYyb2g==" saltValue="4L0KXRMdD5NPopv0m+9zew==" spinCount="100000" sheet="1" objects="1" scenarios="1" selectLockedCells="1" selectUnlockedCells="1"/>
  <mergeCells count="3">
    <mergeCell ref="A1:D1"/>
    <mergeCell ref="A21:C21"/>
    <mergeCell ref="A22:C22"/>
  </mergeCells>
  <phoneticPr fontId="6" type="noConversion"/>
  <conditionalFormatting sqref="B10:L10 B16:E16 A5:B5">
    <cfRule type="cellIs" dxfId="6" priority="20" stopIfTrue="1" operator="lessThan">
      <formula>0</formula>
    </cfRule>
  </conditionalFormatting>
  <conditionalFormatting sqref="M10:V10">
    <cfRule type="cellIs" dxfId="5" priority="7" stopIfTrue="1" operator="lessThan">
      <formula>0</formula>
    </cfRule>
  </conditionalFormatting>
  <conditionalFormatting sqref="A6">
    <cfRule type="cellIs" dxfId="4" priority="3" stopIfTrue="1" operator="lessThan">
      <formula>0</formula>
    </cfRule>
  </conditionalFormatting>
  <conditionalFormatting sqref="F15:F18">
    <cfRule type="cellIs" dxfId="3" priority="2" stopIfTrue="1" operator="lessThan">
      <formula>0</formula>
    </cfRule>
  </conditionalFormatting>
  <pageMargins left="0.78740157499999996" right="0.78740157499999996" top="0.984251969" bottom="0.984251969" header="0.49212598499999999" footer="0.49212598499999999"/>
  <pageSetup paperSize="9" orientation="portrait" horizontalDpi="300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V24"/>
  <sheetViews>
    <sheetView showGridLines="0" zoomScaleNormal="100" workbookViewId="0">
      <selection activeCell="F23" sqref="F23"/>
    </sheetView>
  </sheetViews>
  <sheetFormatPr defaultColWidth="8.85546875" defaultRowHeight="12.75"/>
  <cols>
    <col min="1" max="1" width="8.85546875" style="3"/>
    <col min="2" max="2" width="45.140625" style="3" customWidth="1"/>
    <col min="3" max="6" width="11.140625" style="3" bestFit="1" customWidth="1"/>
    <col min="7" max="7" width="11.5703125" style="3" bestFit="1" customWidth="1"/>
    <col min="8" max="22" width="10" style="3" bestFit="1" customWidth="1"/>
    <col min="23" max="16384" width="8.85546875" style="3"/>
  </cols>
  <sheetData>
    <row r="3" spans="2:22">
      <c r="B3" s="57" t="s">
        <v>241</v>
      </c>
      <c r="C3" s="4" t="s">
        <v>1</v>
      </c>
      <c r="D3" s="4" t="s">
        <v>2</v>
      </c>
      <c r="E3" s="4" t="s">
        <v>3</v>
      </c>
      <c r="F3" s="4" t="s">
        <v>4</v>
      </c>
      <c r="G3" s="4" t="s">
        <v>13</v>
      </c>
    </row>
    <row r="4" spans="2:22" ht="15">
      <c r="B4" s="11" t="s">
        <v>115</v>
      </c>
      <c r="C4" s="12"/>
      <c r="D4" s="12">
        <f>C4</f>
        <v>0</v>
      </c>
      <c r="E4" s="12">
        <f t="shared" ref="E4:F4" si="0">D4</f>
        <v>0</v>
      </c>
      <c r="F4" s="12">
        <f t="shared" si="0"/>
        <v>0</v>
      </c>
      <c r="G4" s="10">
        <f>SUM(C4:F4)</f>
        <v>0</v>
      </c>
    </row>
    <row r="5" spans="2:22" ht="14.25">
      <c r="B5" s="74" t="s">
        <v>12</v>
      </c>
      <c r="C5" s="97">
        <f>C4</f>
        <v>0</v>
      </c>
      <c r="D5" s="97">
        <f t="shared" ref="D5:G5" si="1">D4</f>
        <v>0</v>
      </c>
      <c r="E5" s="97">
        <f t="shared" si="1"/>
        <v>0</v>
      </c>
      <c r="F5" s="97">
        <f t="shared" si="1"/>
        <v>0</v>
      </c>
      <c r="G5" s="97">
        <f t="shared" si="1"/>
        <v>0</v>
      </c>
    </row>
    <row r="7" spans="2:22">
      <c r="C7" s="4" t="s">
        <v>1</v>
      </c>
      <c r="D7" s="4" t="s">
        <v>2</v>
      </c>
      <c r="E7" s="4" t="s">
        <v>3</v>
      </c>
      <c r="F7" s="4" t="s">
        <v>4</v>
      </c>
      <c r="G7" s="4" t="s">
        <v>5</v>
      </c>
      <c r="H7" s="4" t="s">
        <v>14</v>
      </c>
      <c r="I7" s="4" t="s">
        <v>15</v>
      </c>
      <c r="J7" s="4" t="s">
        <v>16</v>
      </c>
      <c r="K7" s="4" t="s">
        <v>17</v>
      </c>
      <c r="L7" s="4" t="s">
        <v>18</v>
      </c>
      <c r="M7" s="4" t="s">
        <v>56</v>
      </c>
      <c r="N7" s="4" t="s">
        <v>57</v>
      </c>
      <c r="O7" s="4" t="s">
        <v>58</v>
      </c>
      <c r="P7" s="4" t="s">
        <v>59</v>
      </c>
      <c r="Q7" s="4" t="s">
        <v>60</v>
      </c>
      <c r="R7" s="4" t="s">
        <v>221</v>
      </c>
      <c r="S7" s="4" t="s">
        <v>222</v>
      </c>
      <c r="T7" s="4" t="s">
        <v>223</v>
      </c>
      <c r="U7" s="4" t="s">
        <v>224</v>
      </c>
      <c r="V7" s="4" t="s">
        <v>225</v>
      </c>
    </row>
    <row r="8" spans="2:22">
      <c r="B8" s="8" t="s">
        <v>81</v>
      </c>
      <c r="C8" s="14">
        <f>C5</f>
        <v>0</v>
      </c>
      <c r="D8" s="14">
        <f t="shared" ref="D8:F8" si="2">D5</f>
        <v>0</v>
      </c>
      <c r="E8" s="14">
        <f t="shared" si="2"/>
        <v>0</v>
      </c>
      <c r="F8" s="14">
        <f t="shared" si="2"/>
        <v>0</v>
      </c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</row>
    <row r="9" spans="2:22">
      <c r="B9" s="8" t="s">
        <v>195</v>
      </c>
      <c r="C9" s="15"/>
      <c r="D9" s="15"/>
      <c r="E9" s="15"/>
      <c r="F9" s="15"/>
      <c r="G9" s="15"/>
      <c r="H9" s="15"/>
      <c r="I9" s="15"/>
      <c r="J9" s="15">
        <f>C5*0.3</f>
        <v>0</v>
      </c>
      <c r="K9" s="15">
        <f>D5*0.3</f>
        <v>0</v>
      </c>
      <c r="L9" s="15">
        <f>E5*0.3</f>
        <v>0</v>
      </c>
      <c r="M9" s="15">
        <f>F5*0.3</f>
        <v>0</v>
      </c>
      <c r="N9" s="15"/>
      <c r="O9" s="15"/>
      <c r="P9" s="15"/>
      <c r="Q9" s="15">
        <f>J9</f>
        <v>0</v>
      </c>
      <c r="R9" s="15">
        <f t="shared" ref="R9:T9" si="3">K9</f>
        <v>0</v>
      </c>
      <c r="S9" s="15">
        <f t="shared" si="3"/>
        <v>0</v>
      </c>
      <c r="T9" s="15">
        <f t="shared" si="3"/>
        <v>0</v>
      </c>
      <c r="U9" s="15"/>
      <c r="V9" s="15"/>
    </row>
    <row r="10" spans="2:22">
      <c r="B10" s="75" t="s">
        <v>12</v>
      </c>
      <c r="C10" s="15">
        <f>SUM(C8:C9)</f>
        <v>0</v>
      </c>
      <c r="D10" s="15">
        <f t="shared" ref="D10:V10" si="4">SUM(D8:D9)</f>
        <v>0</v>
      </c>
      <c r="E10" s="15">
        <f t="shared" si="4"/>
        <v>0</v>
      </c>
      <c r="F10" s="15">
        <f t="shared" si="4"/>
        <v>0</v>
      </c>
      <c r="G10" s="15">
        <f t="shared" si="4"/>
        <v>0</v>
      </c>
      <c r="H10" s="15">
        <f t="shared" si="4"/>
        <v>0</v>
      </c>
      <c r="I10" s="15">
        <f t="shared" si="4"/>
        <v>0</v>
      </c>
      <c r="J10" s="15">
        <f t="shared" si="4"/>
        <v>0</v>
      </c>
      <c r="K10" s="15">
        <f t="shared" si="4"/>
        <v>0</v>
      </c>
      <c r="L10" s="15">
        <f t="shared" si="4"/>
        <v>0</v>
      </c>
      <c r="M10" s="15">
        <f t="shared" si="4"/>
        <v>0</v>
      </c>
      <c r="N10" s="15">
        <f t="shared" si="4"/>
        <v>0</v>
      </c>
      <c r="O10" s="15">
        <f t="shared" si="4"/>
        <v>0</v>
      </c>
      <c r="P10" s="15">
        <f t="shared" si="4"/>
        <v>0</v>
      </c>
      <c r="Q10" s="15">
        <f t="shared" si="4"/>
        <v>0</v>
      </c>
      <c r="R10" s="15">
        <f t="shared" si="4"/>
        <v>0</v>
      </c>
      <c r="S10" s="15">
        <f t="shared" si="4"/>
        <v>0</v>
      </c>
      <c r="T10" s="15">
        <f t="shared" si="4"/>
        <v>0</v>
      </c>
      <c r="U10" s="15">
        <f t="shared" si="4"/>
        <v>0</v>
      </c>
      <c r="V10" s="15">
        <f t="shared" si="4"/>
        <v>0</v>
      </c>
    </row>
    <row r="11" spans="2:22">
      <c r="B11" s="7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</row>
    <row r="12" spans="2:22">
      <c r="B12" s="16"/>
      <c r="C12" s="4" t="s">
        <v>1</v>
      </c>
      <c r="D12" s="4" t="s">
        <v>2</v>
      </c>
      <c r="E12" s="4" t="s">
        <v>3</v>
      </c>
      <c r="F12" s="4" t="s">
        <v>4</v>
      </c>
      <c r="G12" s="4" t="s">
        <v>5</v>
      </c>
      <c r="H12" s="4" t="s">
        <v>14</v>
      </c>
      <c r="I12" s="4" t="s">
        <v>15</v>
      </c>
      <c r="J12" s="4" t="s">
        <v>16</v>
      </c>
      <c r="K12" s="4" t="s">
        <v>17</v>
      </c>
      <c r="L12" s="4" t="s">
        <v>18</v>
      </c>
      <c r="M12" s="4" t="s">
        <v>56</v>
      </c>
      <c r="N12" s="4" t="s">
        <v>57</v>
      </c>
      <c r="O12" s="4" t="s">
        <v>58</v>
      </c>
      <c r="P12" s="4" t="s">
        <v>59</v>
      </c>
      <c r="Q12" s="4" t="s">
        <v>60</v>
      </c>
      <c r="R12" s="4" t="s">
        <v>221</v>
      </c>
      <c r="S12" s="4" t="s">
        <v>222</v>
      </c>
      <c r="T12" s="4" t="s">
        <v>223</v>
      </c>
      <c r="U12" s="4" t="s">
        <v>224</v>
      </c>
      <c r="V12" s="4" t="s">
        <v>225</v>
      </c>
    </row>
    <row r="13" spans="2:22">
      <c r="B13" s="8" t="s">
        <v>218</v>
      </c>
      <c r="C13" s="15">
        <f>0.2*C8</f>
        <v>0</v>
      </c>
      <c r="D13" s="15">
        <f>C13</f>
        <v>0</v>
      </c>
      <c r="E13" s="15">
        <f t="shared" ref="E13:V13" si="5">D13</f>
        <v>0</v>
      </c>
      <c r="F13" s="15">
        <f t="shared" si="5"/>
        <v>0</v>
      </c>
      <c r="G13" s="15">
        <f t="shared" si="5"/>
        <v>0</v>
      </c>
      <c r="H13" s="15">
        <f t="shared" si="5"/>
        <v>0</v>
      </c>
      <c r="I13" s="15">
        <f t="shared" si="5"/>
        <v>0</v>
      </c>
      <c r="J13" s="15">
        <f t="shared" si="5"/>
        <v>0</v>
      </c>
      <c r="K13" s="15">
        <f t="shared" si="5"/>
        <v>0</v>
      </c>
      <c r="L13" s="15">
        <f t="shared" si="5"/>
        <v>0</v>
      </c>
      <c r="M13" s="15">
        <f t="shared" si="5"/>
        <v>0</v>
      </c>
      <c r="N13" s="15">
        <f t="shared" si="5"/>
        <v>0</v>
      </c>
      <c r="O13" s="15">
        <f t="shared" si="5"/>
        <v>0</v>
      </c>
      <c r="P13" s="15">
        <f t="shared" si="5"/>
        <v>0</v>
      </c>
      <c r="Q13" s="15">
        <f t="shared" si="5"/>
        <v>0</v>
      </c>
      <c r="R13" s="15">
        <f t="shared" si="5"/>
        <v>0</v>
      </c>
      <c r="S13" s="15">
        <f t="shared" si="5"/>
        <v>0</v>
      </c>
      <c r="T13" s="15">
        <f t="shared" si="5"/>
        <v>0</v>
      </c>
      <c r="U13" s="15">
        <f t="shared" si="5"/>
        <v>0</v>
      </c>
      <c r="V13" s="15">
        <f t="shared" si="5"/>
        <v>0</v>
      </c>
    </row>
    <row r="14" spans="2:22">
      <c r="B14" s="75" t="s">
        <v>12</v>
      </c>
      <c r="C14" s="15">
        <f>C13</f>
        <v>0</v>
      </c>
      <c r="D14" s="15">
        <f t="shared" ref="D14:V14" si="6">D13</f>
        <v>0</v>
      </c>
      <c r="E14" s="15">
        <f t="shared" si="6"/>
        <v>0</v>
      </c>
      <c r="F14" s="15">
        <f t="shared" si="6"/>
        <v>0</v>
      </c>
      <c r="G14" s="15">
        <f t="shared" si="6"/>
        <v>0</v>
      </c>
      <c r="H14" s="15">
        <f t="shared" si="6"/>
        <v>0</v>
      </c>
      <c r="I14" s="15">
        <f t="shared" si="6"/>
        <v>0</v>
      </c>
      <c r="J14" s="15">
        <f t="shared" si="6"/>
        <v>0</v>
      </c>
      <c r="K14" s="15">
        <f t="shared" si="6"/>
        <v>0</v>
      </c>
      <c r="L14" s="15">
        <f t="shared" si="6"/>
        <v>0</v>
      </c>
      <c r="M14" s="15">
        <f t="shared" si="6"/>
        <v>0</v>
      </c>
      <c r="N14" s="15">
        <f t="shared" si="6"/>
        <v>0</v>
      </c>
      <c r="O14" s="15">
        <f t="shared" si="6"/>
        <v>0</v>
      </c>
      <c r="P14" s="15">
        <f t="shared" si="6"/>
        <v>0</v>
      </c>
      <c r="Q14" s="15">
        <f t="shared" si="6"/>
        <v>0</v>
      </c>
      <c r="R14" s="15">
        <f t="shared" si="6"/>
        <v>0</v>
      </c>
      <c r="S14" s="15">
        <f t="shared" si="6"/>
        <v>0</v>
      </c>
      <c r="T14" s="15">
        <f t="shared" si="6"/>
        <v>0</v>
      </c>
      <c r="U14" s="15">
        <f t="shared" si="6"/>
        <v>0</v>
      </c>
      <c r="V14" s="15">
        <f t="shared" si="6"/>
        <v>0</v>
      </c>
    </row>
    <row r="15" spans="2:22">
      <c r="B15" s="76"/>
      <c r="C15" s="76"/>
      <c r="D15" s="76"/>
      <c r="E15" s="76"/>
      <c r="F15" s="76"/>
      <c r="G15" s="76"/>
      <c r="H15" s="76"/>
      <c r="I15" s="76"/>
      <c r="J15" s="76"/>
      <c r="K15" s="76"/>
      <c r="L15" s="76"/>
      <c r="M15" s="6"/>
      <c r="N15" s="6"/>
      <c r="O15" s="6"/>
      <c r="P15" s="6"/>
      <c r="Q15" s="6"/>
      <c r="R15" s="6"/>
      <c r="S15" s="6"/>
      <c r="T15" s="6"/>
      <c r="U15" s="6"/>
      <c r="V15" s="6"/>
    </row>
    <row r="16" spans="2:22">
      <c r="B16" s="76"/>
      <c r="C16" s="76"/>
      <c r="D16" s="76"/>
      <c r="E16" s="76"/>
      <c r="F16" s="76"/>
      <c r="G16" s="76"/>
      <c r="H16" s="76"/>
      <c r="I16" s="76"/>
      <c r="J16" s="76"/>
      <c r="K16" s="76"/>
      <c r="L16" s="76"/>
    </row>
    <row r="17" spans="2:12">
      <c r="B17" s="76"/>
      <c r="C17" s="76"/>
      <c r="D17" s="76"/>
      <c r="E17" s="76"/>
      <c r="F17" s="76"/>
      <c r="G17" s="76"/>
      <c r="H17" s="76"/>
      <c r="I17" s="76"/>
      <c r="J17" s="76"/>
      <c r="K17" s="76"/>
      <c r="L17" s="76"/>
    </row>
    <row r="18" spans="2:12">
      <c r="B18" s="76"/>
      <c r="C18" s="76"/>
      <c r="D18" s="76"/>
      <c r="E18" s="76"/>
      <c r="F18" s="76"/>
      <c r="G18" s="76"/>
      <c r="H18" s="76"/>
      <c r="I18" s="76"/>
      <c r="J18" s="76"/>
      <c r="K18" s="76"/>
      <c r="L18" s="76"/>
    </row>
    <row r="19" spans="2:12">
      <c r="B19" s="76"/>
      <c r="C19" s="76"/>
      <c r="D19" s="76"/>
      <c r="E19" s="76"/>
      <c r="F19" s="76"/>
      <c r="G19" s="76"/>
      <c r="H19" s="76"/>
      <c r="I19" s="76"/>
      <c r="J19" s="76"/>
      <c r="K19" s="76"/>
      <c r="L19" s="76"/>
    </row>
    <row r="20" spans="2:12">
      <c r="B20" s="76"/>
      <c r="C20" s="76"/>
      <c r="D20" s="76"/>
      <c r="E20" s="76"/>
      <c r="F20" s="76"/>
      <c r="G20" s="76"/>
      <c r="H20" s="76"/>
      <c r="I20" s="76"/>
      <c r="J20" s="76"/>
      <c r="K20" s="76"/>
      <c r="L20" s="76"/>
    </row>
    <row r="21" spans="2:12">
      <c r="B21" s="76"/>
      <c r="C21" s="76"/>
      <c r="D21" s="76"/>
      <c r="E21" s="76"/>
      <c r="F21" s="76"/>
      <c r="G21" s="76"/>
      <c r="H21" s="76"/>
      <c r="I21" s="76"/>
      <c r="J21" s="76"/>
      <c r="K21" s="76"/>
      <c r="L21" s="76"/>
    </row>
    <row r="22" spans="2:12">
      <c r="B22" s="76"/>
      <c r="C22" s="76"/>
      <c r="D22" s="76"/>
      <c r="E22" s="76"/>
      <c r="F22" s="76"/>
      <c r="G22" s="76"/>
      <c r="H22" s="76"/>
      <c r="I22" s="76"/>
      <c r="J22" s="76"/>
      <c r="K22" s="76"/>
      <c r="L22" s="76"/>
    </row>
    <row r="23" spans="2:12">
      <c r="B23" s="76"/>
      <c r="C23" s="76"/>
      <c r="D23" s="76"/>
      <c r="E23" s="76"/>
      <c r="F23" s="76"/>
      <c r="G23" s="76"/>
      <c r="H23" s="76"/>
      <c r="I23" s="76"/>
      <c r="J23" s="76"/>
      <c r="K23" s="76"/>
      <c r="L23" s="76"/>
    </row>
    <row r="24" spans="2:12">
      <c r="B24" s="76"/>
      <c r="C24" s="76"/>
      <c r="D24" s="76"/>
      <c r="E24" s="76"/>
      <c r="F24" s="76"/>
      <c r="G24" s="76"/>
      <c r="H24" s="76"/>
      <c r="I24" s="76"/>
      <c r="J24" s="76"/>
      <c r="K24" s="76"/>
      <c r="L24" s="76"/>
    </row>
  </sheetData>
  <sheetProtection algorithmName="SHA-512" hashValue="Qa3+NBk7uwnR+J/aRnBdinHk7q4CLFqVmN/bog8oL5l4JTpulzHqDJ9u/W8MUluDgF966am7/7ksJx1m699jGA==" saltValue="ZzQH1iIEJFzV0JikYQuNwg==" spinCount="100000" sheet="1" objects="1" scenarios="1" selectLockedCells="1" selectUnlockedCells="1"/>
  <phoneticPr fontId="120" type="noConversion"/>
  <pageMargins left="0.511811024" right="0.511811024" top="0.78740157499999996" bottom="0.78740157499999996" header="0.31496062000000002" footer="0.3149606200000000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9"/>
  <sheetViews>
    <sheetView showGridLines="0" topLeftCell="A12" zoomScaleNormal="100" workbookViewId="0">
      <selection activeCell="K41" sqref="K41"/>
    </sheetView>
  </sheetViews>
  <sheetFormatPr defaultColWidth="7.140625" defaultRowHeight="12.75"/>
  <cols>
    <col min="1" max="2" width="2.5703125" style="349" customWidth="1"/>
    <col min="3" max="3" width="53.7109375" style="349" customWidth="1"/>
    <col min="4" max="4" width="13.140625" style="350" customWidth="1"/>
    <col min="5" max="5" width="14.42578125" style="350" customWidth="1"/>
    <col min="6" max="6" width="13.85546875" style="350" customWidth="1"/>
    <col min="7" max="7" width="13.5703125" style="350" customWidth="1"/>
    <col min="8" max="8" width="14.42578125" style="350" customWidth="1"/>
    <col min="9" max="9" width="14.140625" style="350" customWidth="1"/>
    <col min="10" max="11" width="13.85546875" style="350" customWidth="1"/>
    <col min="12" max="12" width="14.42578125" style="350" customWidth="1"/>
    <col min="13" max="13" width="14.140625" style="350" customWidth="1"/>
    <col min="14" max="14" width="14.42578125" style="350" customWidth="1"/>
    <col min="15" max="15" width="14.7109375" style="350" bestFit="1" customWidth="1"/>
    <col min="16" max="16" width="14.140625" style="350" bestFit="1" customWidth="1"/>
    <col min="17" max="17" width="15" style="350" bestFit="1" customWidth="1"/>
    <col min="18" max="19" width="14.7109375" style="350" bestFit="1" customWidth="1"/>
    <col min="20" max="20" width="15.28515625" style="350" bestFit="1" customWidth="1"/>
    <col min="21" max="21" width="15" style="350" bestFit="1" customWidth="1"/>
    <col min="22" max="22" width="14.42578125" style="350" bestFit="1" customWidth="1"/>
    <col min="23" max="23" width="14.7109375" style="350" bestFit="1" customWidth="1"/>
    <col min="24" max="24" width="14.42578125" style="350" bestFit="1" customWidth="1"/>
    <col min="25" max="16384" width="7.140625" style="349"/>
  </cols>
  <sheetData>
    <row r="1" spans="1:24" ht="15" customHeight="1"/>
    <row r="2" spans="1:24" ht="15" customHeight="1"/>
    <row r="3" spans="1:24" ht="15" customHeight="1"/>
    <row r="4" spans="1:24" ht="15" customHeight="1"/>
    <row r="5" spans="1:24" ht="15" customHeight="1"/>
    <row r="6" spans="1:24" ht="15" customHeight="1"/>
    <row r="7" spans="1:24">
      <c r="A7" s="351" t="s">
        <v>98</v>
      </c>
      <c r="D7" s="352" t="s">
        <v>82</v>
      </c>
      <c r="E7" s="352" t="s">
        <v>83</v>
      </c>
      <c r="F7" s="352" t="s">
        <v>84</v>
      </c>
      <c r="G7" s="352" t="s">
        <v>85</v>
      </c>
      <c r="H7" s="352" t="s">
        <v>86</v>
      </c>
      <c r="I7" s="352" t="s">
        <v>87</v>
      </c>
      <c r="J7" s="352" t="s">
        <v>88</v>
      </c>
      <c r="K7" s="352" t="s">
        <v>89</v>
      </c>
      <c r="L7" s="352" t="s">
        <v>90</v>
      </c>
      <c r="M7" s="352" t="s">
        <v>91</v>
      </c>
      <c r="N7" s="352" t="s">
        <v>92</v>
      </c>
      <c r="O7" s="352" t="s">
        <v>93</v>
      </c>
      <c r="P7" s="352" t="s">
        <v>94</v>
      </c>
      <c r="Q7" s="352" t="s">
        <v>95</v>
      </c>
      <c r="R7" s="352" t="s">
        <v>96</v>
      </c>
      <c r="S7" s="352" t="s">
        <v>97</v>
      </c>
      <c r="T7" s="352" t="s">
        <v>226</v>
      </c>
      <c r="U7" s="352" t="s">
        <v>227</v>
      </c>
      <c r="V7" s="352" t="s">
        <v>228</v>
      </c>
      <c r="W7" s="352" t="s">
        <v>229</v>
      </c>
      <c r="X7" s="352" t="s">
        <v>230</v>
      </c>
    </row>
    <row r="8" spans="1:24">
      <c r="A8" s="353" t="s">
        <v>10</v>
      </c>
      <c r="B8" s="353"/>
      <c r="C8" s="353"/>
      <c r="D8" s="354"/>
      <c r="E8" s="354"/>
      <c r="F8" s="354"/>
      <c r="G8" s="354"/>
      <c r="H8" s="354"/>
      <c r="I8" s="354"/>
      <c r="J8" s="354"/>
      <c r="K8" s="354"/>
      <c r="L8" s="354"/>
      <c r="M8" s="354"/>
      <c r="N8" s="354"/>
      <c r="O8" s="354"/>
      <c r="P8" s="354"/>
      <c r="Q8" s="354"/>
      <c r="R8" s="354"/>
      <c r="S8" s="354"/>
      <c r="T8" s="354"/>
      <c r="U8" s="354"/>
      <c r="V8" s="354"/>
      <c r="W8" s="354"/>
      <c r="X8" s="354"/>
    </row>
    <row r="9" spans="1:24">
      <c r="A9" s="353" t="s">
        <v>191</v>
      </c>
      <c r="B9" s="353"/>
      <c r="C9" s="353"/>
      <c r="D9" s="354">
        <v>0</v>
      </c>
      <c r="E9" s="354">
        <f>'Q15-FCD'!C8</f>
        <v>25739155.738769062</v>
      </c>
      <c r="F9" s="354">
        <f>'Q15-FCD'!D8</f>
        <v>25739155.738769062</v>
      </c>
      <c r="G9" s="354">
        <f>'Q15-FCD'!E8</f>
        <v>25739155.738769062</v>
      </c>
      <c r="H9" s="354">
        <f>'Q15-FCD'!F8</f>
        <v>25739155.738769062</v>
      </c>
      <c r="I9" s="354">
        <f>'Q15-FCD'!G8</f>
        <v>25739155.738769062</v>
      </c>
      <c r="J9" s="354">
        <f>'Q15-FCD'!H8</f>
        <v>25739155.738769062</v>
      </c>
      <c r="K9" s="354">
        <f>'Q15-FCD'!I8</f>
        <v>25739155.738769062</v>
      </c>
      <c r="L9" s="354">
        <f>'Q15-FCD'!J8</f>
        <v>25739155.738769062</v>
      </c>
      <c r="M9" s="354">
        <f>'Q15-FCD'!K8</f>
        <v>25739155.738769062</v>
      </c>
      <c r="N9" s="354">
        <f>'Q15-FCD'!L8</f>
        <v>25739155.738769062</v>
      </c>
      <c r="O9" s="354">
        <f>'Q15-FCD'!M8</f>
        <v>25739155.738769062</v>
      </c>
      <c r="P9" s="354">
        <f>'Q15-FCD'!N8</f>
        <v>25739155.738769062</v>
      </c>
      <c r="Q9" s="354">
        <f>'Q15-FCD'!O8</f>
        <v>25739155.738769062</v>
      </c>
      <c r="R9" s="354">
        <f>'Q15-FCD'!P8</f>
        <v>25739155.738769062</v>
      </c>
      <c r="S9" s="354">
        <f>'Q15-FCD'!Q8</f>
        <v>25739155.738769062</v>
      </c>
      <c r="T9" s="354">
        <f>'Q15-FCD'!R8</f>
        <v>25739155.738769062</v>
      </c>
      <c r="U9" s="354">
        <f>'Q15-FCD'!S8</f>
        <v>25739155.738769062</v>
      </c>
      <c r="V9" s="354">
        <f>'Q15-FCD'!T8</f>
        <v>25739155.738769062</v>
      </c>
      <c r="W9" s="354">
        <f>'Q15-FCD'!U8</f>
        <v>25739155.738769062</v>
      </c>
      <c r="X9" s="354">
        <f>'Q15-FCD'!V8</f>
        <v>25739155.738769062</v>
      </c>
    </row>
    <row r="10" spans="1:24">
      <c r="A10" s="353" t="s">
        <v>98</v>
      </c>
      <c r="B10" s="353"/>
      <c r="C10" s="353"/>
      <c r="D10" s="354"/>
      <c r="E10" s="354"/>
      <c r="F10" s="354"/>
      <c r="G10" s="354"/>
      <c r="H10" s="354"/>
      <c r="I10" s="354"/>
      <c r="J10" s="354"/>
      <c r="K10" s="354"/>
      <c r="L10" s="354"/>
      <c r="M10" s="354"/>
      <c r="N10" s="354"/>
      <c r="O10" s="354"/>
      <c r="P10" s="354"/>
      <c r="Q10" s="354"/>
      <c r="R10" s="354"/>
      <c r="S10" s="354"/>
      <c r="T10" s="354"/>
      <c r="U10" s="354"/>
      <c r="V10" s="354"/>
      <c r="W10" s="354"/>
      <c r="X10" s="354"/>
    </row>
    <row r="11" spans="1:24">
      <c r="A11" s="353" t="s">
        <v>190</v>
      </c>
      <c r="B11" s="353"/>
      <c r="C11" s="353"/>
      <c r="D11" s="354">
        <v>0</v>
      </c>
      <c r="E11" s="354">
        <f t="shared" ref="E11:X11" si="0">E9*2%</f>
        <v>514783.11477538123</v>
      </c>
      <c r="F11" s="354">
        <f t="shared" si="0"/>
        <v>514783.11477538123</v>
      </c>
      <c r="G11" s="354">
        <f t="shared" si="0"/>
        <v>514783.11477538123</v>
      </c>
      <c r="H11" s="354">
        <f t="shared" si="0"/>
        <v>514783.11477538123</v>
      </c>
      <c r="I11" s="354">
        <f t="shared" si="0"/>
        <v>514783.11477538123</v>
      </c>
      <c r="J11" s="354">
        <f t="shared" si="0"/>
        <v>514783.11477538123</v>
      </c>
      <c r="K11" s="354">
        <f t="shared" si="0"/>
        <v>514783.11477538123</v>
      </c>
      <c r="L11" s="354">
        <f t="shared" si="0"/>
        <v>514783.11477538123</v>
      </c>
      <c r="M11" s="354">
        <f t="shared" si="0"/>
        <v>514783.11477538123</v>
      </c>
      <c r="N11" s="354">
        <f t="shared" si="0"/>
        <v>514783.11477538123</v>
      </c>
      <c r="O11" s="354">
        <f t="shared" si="0"/>
        <v>514783.11477538123</v>
      </c>
      <c r="P11" s="354">
        <f t="shared" si="0"/>
        <v>514783.11477538123</v>
      </c>
      <c r="Q11" s="354">
        <f t="shared" si="0"/>
        <v>514783.11477538123</v>
      </c>
      <c r="R11" s="354">
        <f t="shared" si="0"/>
        <v>514783.11477538123</v>
      </c>
      <c r="S11" s="354">
        <f t="shared" si="0"/>
        <v>514783.11477538123</v>
      </c>
      <c r="T11" s="354">
        <f t="shared" si="0"/>
        <v>514783.11477538123</v>
      </c>
      <c r="U11" s="354">
        <f t="shared" si="0"/>
        <v>514783.11477538123</v>
      </c>
      <c r="V11" s="354">
        <f t="shared" si="0"/>
        <v>514783.11477538123</v>
      </c>
      <c r="W11" s="354">
        <f t="shared" si="0"/>
        <v>514783.11477538123</v>
      </c>
      <c r="X11" s="354">
        <f t="shared" si="0"/>
        <v>514783.11477538123</v>
      </c>
    </row>
    <row r="12" spans="1:24">
      <c r="A12" s="353" t="s">
        <v>233</v>
      </c>
      <c r="B12" s="353"/>
      <c r="C12" s="353"/>
      <c r="D12" s="354">
        <v>0</v>
      </c>
      <c r="E12" s="354">
        <f t="shared" ref="E12:X12" si="1">E9*2%</f>
        <v>514783.11477538123</v>
      </c>
      <c r="F12" s="354">
        <f t="shared" si="1"/>
        <v>514783.11477538123</v>
      </c>
      <c r="G12" s="354">
        <f t="shared" si="1"/>
        <v>514783.11477538123</v>
      </c>
      <c r="H12" s="354">
        <f t="shared" si="1"/>
        <v>514783.11477538123</v>
      </c>
      <c r="I12" s="354">
        <f t="shared" si="1"/>
        <v>514783.11477538123</v>
      </c>
      <c r="J12" s="354">
        <f t="shared" si="1"/>
        <v>514783.11477538123</v>
      </c>
      <c r="K12" s="354">
        <f t="shared" si="1"/>
        <v>514783.11477538123</v>
      </c>
      <c r="L12" s="354">
        <f t="shared" si="1"/>
        <v>514783.11477538123</v>
      </c>
      <c r="M12" s="354">
        <f t="shared" si="1"/>
        <v>514783.11477538123</v>
      </c>
      <c r="N12" s="354">
        <f t="shared" si="1"/>
        <v>514783.11477538123</v>
      </c>
      <c r="O12" s="354">
        <f t="shared" si="1"/>
        <v>514783.11477538123</v>
      </c>
      <c r="P12" s="354">
        <f t="shared" si="1"/>
        <v>514783.11477538123</v>
      </c>
      <c r="Q12" s="354">
        <f t="shared" si="1"/>
        <v>514783.11477538123</v>
      </c>
      <c r="R12" s="354">
        <f t="shared" si="1"/>
        <v>514783.11477538123</v>
      </c>
      <c r="S12" s="354">
        <f t="shared" si="1"/>
        <v>514783.11477538123</v>
      </c>
      <c r="T12" s="354">
        <f t="shared" si="1"/>
        <v>514783.11477538123</v>
      </c>
      <c r="U12" s="354">
        <f t="shared" si="1"/>
        <v>514783.11477538123</v>
      </c>
      <c r="V12" s="354">
        <f t="shared" si="1"/>
        <v>514783.11477538123</v>
      </c>
      <c r="W12" s="354">
        <f t="shared" si="1"/>
        <v>514783.11477538123</v>
      </c>
      <c r="X12" s="354">
        <f t="shared" si="1"/>
        <v>514783.11477538123</v>
      </c>
    </row>
    <row r="14" spans="1:24">
      <c r="A14" s="353" t="s">
        <v>193</v>
      </c>
      <c r="B14" s="353"/>
      <c r="C14" s="353"/>
      <c r="D14" s="354"/>
      <c r="E14" s="354"/>
      <c r="F14" s="354"/>
      <c r="G14" s="354"/>
      <c r="H14" s="354"/>
      <c r="I14" s="354"/>
      <c r="J14" s="354"/>
      <c r="K14" s="354"/>
      <c r="L14" s="354"/>
      <c r="M14" s="354"/>
      <c r="N14" s="354"/>
      <c r="O14" s="354"/>
      <c r="P14" s="354"/>
      <c r="Q14" s="354"/>
      <c r="R14" s="354"/>
      <c r="S14" s="354"/>
      <c r="T14" s="354"/>
      <c r="U14" s="354"/>
      <c r="V14" s="354"/>
      <c r="W14" s="354"/>
      <c r="X14" s="354"/>
    </row>
    <row r="15" spans="1:24">
      <c r="A15" s="353" t="s">
        <v>191</v>
      </c>
      <c r="B15" s="353"/>
      <c r="C15" s="353"/>
      <c r="D15" s="354">
        <v>0</v>
      </c>
      <c r="E15" s="354">
        <f>'Q15-FCD'!C9</f>
        <v>51478.311477538125</v>
      </c>
      <c r="F15" s="354">
        <f>'Q15-FCD'!D9</f>
        <v>51478.311477538125</v>
      </c>
      <c r="G15" s="354">
        <f>'Q15-FCD'!E9</f>
        <v>51478.311477538125</v>
      </c>
      <c r="H15" s="354">
        <f>'Q15-FCD'!F9</f>
        <v>51478.311477538125</v>
      </c>
      <c r="I15" s="354">
        <f>'Q15-FCD'!G9</f>
        <v>51478.311477538125</v>
      </c>
      <c r="J15" s="354">
        <f>'Q15-FCD'!H9</f>
        <v>51478.311477538125</v>
      </c>
      <c r="K15" s="354">
        <f>'Q15-FCD'!I9</f>
        <v>51478.311477538125</v>
      </c>
      <c r="L15" s="354">
        <f>'Q15-FCD'!J9</f>
        <v>51478.311477538125</v>
      </c>
      <c r="M15" s="354">
        <f>'Q15-FCD'!K9</f>
        <v>51478.311477538125</v>
      </c>
      <c r="N15" s="354">
        <f>'Q15-FCD'!L9</f>
        <v>51478.311477538125</v>
      </c>
      <c r="O15" s="354">
        <f>'Q15-FCD'!M9</f>
        <v>51478.311477538125</v>
      </c>
      <c r="P15" s="354">
        <f>'Q15-FCD'!N9</f>
        <v>51478.311477538125</v>
      </c>
      <c r="Q15" s="354">
        <f>'Q15-FCD'!O9</f>
        <v>51478.311477538125</v>
      </c>
      <c r="R15" s="354">
        <f>'Q15-FCD'!P9</f>
        <v>51478.311477538125</v>
      </c>
      <c r="S15" s="354">
        <f>'Q15-FCD'!Q9</f>
        <v>51478.311477538125</v>
      </c>
      <c r="T15" s="354">
        <f>'Q15-FCD'!R9</f>
        <v>51478.311477538125</v>
      </c>
      <c r="U15" s="354">
        <f>'Q15-FCD'!S9</f>
        <v>51478.311477538125</v>
      </c>
      <c r="V15" s="354">
        <f>'Q15-FCD'!T9</f>
        <v>51478.311477538125</v>
      </c>
      <c r="W15" s="354">
        <f>'Q15-FCD'!U9</f>
        <v>51478.311477538125</v>
      </c>
      <c r="X15" s="354">
        <f>'Q15-FCD'!V9</f>
        <v>51478.311477538125</v>
      </c>
    </row>
    <row r="16" spans="1:24">
      <c r="A16" s="353" t="s">
        <v>98</v>
      </c>
      <c r="B16" s="353"/>
      <c r="C16" s="353"/>
      <c r="D16" s="354"/>
      <c r="E16" s="354"/>
      <c r="F16" s="354"/>
      <c r="G16" s="354"/>
      <c r="H16" s="354"/>
      <c r="I16" s="354"/>
      <c r="J16" s="354"/>
      <c r="K16" s="354"/>
      <c r="L16" s="354"/>
      <c r="M16" s="354"/>
      <c r="N16" s="354"/>
      <c r="O16" s="354"/>
      <c r="P16" s="354"/>
      <c r="Q16" s="354"/>
      <c r="R16" s="354"/>
      <c r="S16" s="354"/>
      <c r="T16" s="354"/>
      <c r="U16" s="354"/>
      <c r="V16" s="354"/>
      <c r="W16" s="354"/>
      <c r="X16" s="354"/>
    </row>
    <row r="17" spans="1:24">
      <c r="A17" s="353" t="s">
        <v>234</v>
      </c>
      <c r="B17" s="353"/>
      <c r="C17" s="353"/>
      <c r="D17" s="354">
        <v>0</v>
      </c>
      <c r="E17" s="354">
        <f t="shared" ref="E17:X17" si="2">E15*2%</f>
        <v>1029.5662295507625</v>
      </c>
      <c r="F17" s="354">
        <f t="shared" si="2"/>
        <v>1029.5662295507625</v>
      </c>
      <c r="G17" s="354">
        <f t="shared" si="2"/>
        <v>1029.5662295507625</v>
      </c>
      <c r="H17" s="354">
        <f t="shared" si="2"/>
        <v>1029.5662295507625</v>
      </c>
      <c r="I17" s="354">
        <f t="shared" si="2"/>
        <v>1029.5662295507625</v>
      </c>
      <c r="J17" s="354">
        <f t="shared" si="2"/>
        <v>1029.5662295507625</v>
      </c>
      <c r="K17" s="354">
        <f t="shared" si="2"/>
        <v>1029.5662295507625</v>
      </c>
      <c r="L17" s="354">
        <f t="shared" si="2"/>
        <v>1029.5662295507625</v>
      </c>
      <c r="M17" s="354">
        <f t="shared" si="2"/>
        <v>1029.5662295507625</v>
      </c>
      <c r="N17" s="354">
        <f t="shared" si="2"/>
        <v>1029.5662295507625</v>
      </c>
      <c r="O17" s="354">
        <f t="shared" si="2"/>
        <v>1029.5662295507625</v>
      </c>
      <c r="P17" s="354">
        <f t="shared" si="2"/>
        <v>1029.5662295507625</v>
      </c>
      <c r="Q17" s="354">
        <f t="shared" si="2"/>
        <v>1029.5662295507625</v>
      </c>
      <c r="R17" s="354">
        <f t="shared" si="2"/>
        <v>1029.5662295507625</v>
      </c>
      <c r="S17" s="354">
        <f t="shared" si="2"/>
        <v>1029.5662295507625</v>
      </c>
      <c r="T17" s="354">
        <f t="shared" si="2"/>
        <v>1029.5662295507625</v>
      </c>
      <c r="U17" s="354">
        <f t="shared" si="2"/>
        <v>1029.5662295507625</v>
      </c>
      <c r="V17" s="354">
        <f t="shared" si="2"/>
        <v>1029.5662295507625</v>
      </c>
      <c r="W17" s="354">
        <f t="shared" si="2"/>
        <v>1029.5662295507625</v>
      </c>
      <c r="X17" s="354">
        <f t="shared" si="2"/>
        <v>1029.5662295507625</v>
      </c>
    </row>
    <row r="18" spans="1:24">
      <c r="A18" s="353" t="s">
        <v>192</v>
      </c>
      <c r="B18" s="353"/>
      <c r="C18" s="353"/>
      <c r="D18" s="354">
        <v>0</v>
      </c>
      <c r="E18" s="354">
        <f t="shared" ref="E18:X18" si="3">E15*3.65%</f>
        <v>1878.9583689301414</v>
      </c>
      <c r="F18" s="354">
        <f t="shared" si="3"/>
        <v>1878.9583689301414</v>
      </c>
      <c r="G18" s="354">
        <f t="shared" si="3"/>
        <v>1878.9583689301414</v>
      </c>
      <c r="H18" s="354">
        <f t="shared" si="3"/>
        <v>1878.9583689301414</v>
      </c>
      <c r="I18" s="354">
        <f t="shared" si="3"/>
        <v>1878.9583689301414</v>
      </c>
      <c r="J18" s="354">
        <f t="shared" si="3"/>
        <v>1878.9583689301414</v>
      </c>
      <c r="K18" s="354">
        <f t="shared" si="3"/>
        <v>1878.9583689301414</v>
      </c>
      <c r="L18" s="354">
        <f t="shared" si="3"/>
        <v>1878.9583689301414</v>
      </c>
      <c r="M18" s="354">
        <f t="shared" si="3"/>
        <v>1878.9583689301414</v>
      </c>
      <c r="N18" s="354">
        <f t="shared" si="3"/>
        <v>1878.9583689301414</v>
      </c>
      <c r="O18" s="354">
        <f t="shared" si="3"/>
        <v>1878.9583689301414</v>
      </c>
      <c r="P18" s="354">
        <f t="shared" si="3"/>
        <v>1878.9583689301414</v>
      </c>
      <c r="Q18" s="354">
        <f t="shared" si="3"/>
        <v>1878.9583689301414</v>
      </c>
      <c r="R18" s="354">
        <f t="shared" si="3"/>
        <v>1878.9583689301414</v>
      </c>
      <c r="S18" s="354">
        <f t="shared" si="3"/>
        <v>1878.9583689301414</v>
      </c>
      <c r="T18" s="354">
        <f t="shared" si="3"/>
        <v>1878.9583689301414</v>
      </c>
      <c r="U18" s="354">
        <f t="shared" si="3"/>
        <v>1878.9583689301414</v>
      </c>
      <c r="V18" s="354">
        <f t="shared" si="3"/>
        <v>1878.9583689301414</v>
      </c>
      <c r="W18" s="354">
        <f t="shared" si="3"/>
        <v>1878.9583689301414</v>
      </c>
      <c r="X18" s="354">
        <f t="shared" si="3"/>
        <v>1878.9583689301414</v>
      </c>
    </row>
    <row r="20" spans="1:24">
      <c r="A20" s="349" t="s">
        <v>194</v>
      </c>
    </row>
    <row r="22" spans="1:24">
      <c r="A22" s="353" t="s">
        <v>99</v>
      </c>
      <c r="B22" s="353"/>
      <c r="C22" s="353"/>
      <c r="D22" s="354">
        <f>'Q15-FCD'!B31</f>
        <v>-30000</v>
      </c>
      <c r="E22" s="354">
        <f>'Q15-FCD'!C31</f>
        <v>1116671.0893513996</v>
      </c>
      <c r="F22" s="354">
        <f>'Q15-FCD'!D31</f>
        <v>1116671.0893513996</v>
      </c>
      <c r="G22" s="354">
        <f>'Q15-FCD'!E31</f>
        <v>1116671.0893513996</v>
      </c>
      <c r="H22" s="354">
        <f>'Q15-FCD'!F31</f>
        <v>1116671.0893513996</v>
      </c>
      <c r="I22" s="354">
        <f>'Q15-FCD'!G31</f>
        <v>1042612.5329705221</v>
      </c>
      <c r="J22" s="354">
        <f>'Q15-FCD'!H31</f>
        <v>807763.27474847483</v>
      </c>
      <c r="K22" s="354">
        <f>'Q15-FCD'!I31</f>
        <v>807763.27474847483</v>
      </c>
      <c r="L22" s="354">
        <f>'Q15-FCD'!J31</f>
        <v>807763.27474847483</v>
      </c>
      <c r="M22" s="354">
        <f>'Q15-FCD'!K31</f>
        <v>807763.27474847483</v>
      </c>
      <c r="N22" s="354">
        <f>'Q15-FCD'!L31</f>
        <v>916141.83112935256</v>
      </c>
      <c r="O22" s="354">
        <f>'Q15-FCD'!M31</f>
        <v>1144268.1133513998</v>
      </c>
      <c r="P22" s="354">
        <f>'Q15-FCD'!N31</f>
        <v>1144268.1133513998</v>
      </c>
      <c r="Q22" s="354">
        <f>'Q15-FCD'!O31</f>
        <v>1144268.1133513998</v>
      </c>
      <c r="R22" s="354">
        <f>'Q15-FCD'!P31</f>
        <v>1144268.1133513998</v>
      </c>
      <c r="S22" s="354">
        <f>'Q15-FCD'!Q31</f>
        <v>1070209.5569705223</v>
      </c>
      <c r="T22" s="354">
        <f>'Q15-FCD'!R31</f>
        <v>835360.29874847503</v>
      </c>
      <c r="U22" s="354">
        <f>'Q15-FCD'!S31</f>
        <v>835360.29874847503</v>
      </c>
      <c r="V22" s="354">
        <f>'Q15-FCD'!T31</f>
        <v>835360.29874847503</v>
      </c>
      <c r="W22" s="354">
        <f>'Q15-FCD'!U31</f>
        <v>835360.29874847503</v>
      </c>
      <c r="X22" s="354">
        <f>'Q15-FCD'!V31</f>
        <v>8681256.8713006265</v>
      </c>
    </row>
    <row r="24" spans="1:24">
      <c r="A24" s="349" t="s">
        <v>42</v>
      </c>
    </row>
    <row r="25" spans="1:24">
      <c r="A25" s="434" t="s">
        <v>38</v>
      </c>
      <c r="B25" s="435"/>
      <c r="C25" s="436"/>
      <c r="D25" s="354">
        <f>D22*9%</f>
        <v>-2700</v>
      </c>
      <c r="E25" s="354">
        <f t="shared" ref="E25:X25" si="4">E22*9%</f>
        <v>100500.39804162596</v>
      </c>
      <c r="F25" s="354">
        <f t="shared" si="4"/>
        <v>100500.39804162596</v>
      </c>
      <c r="G25" s="354">
        <f t="shared" si="4"/>
        <v>100500.39804162596</v>
      </c>
      <c r="H25" s="354">
        <f t="shared" si="4"/>
        <v>100500.39804162596</v>
      </c>
      <c r="I25" s="354">
        <f t="shared" si="4"/>
        <v>93835.127967346983</v>
      </c>
      <c r="J25" s="354">
        <f t="shared" si="4"/>
        <v>72698.69472736273</v>
      </c>
      <c r="K25" s="354">
        <f t="shared" si="4"/>
        <v>72698.69472736273</v>
      </c>
      <c r="L25" s="354">
        <f t="shared" si="4"/>
        <v>72698.69472736273</v>
      </c>
      <c r="M25" s="354">
        <f t="shared" si="4"/>
        <v>72698.69472736273</v>
      </c>
      <c r="N25" s="354">
        <f t="shared" si="4"/>
        <v>82452.764801641722</v>
      </c>
      <c r="O25" s="354">
        <f t="shared" si="4"/>
        <v>102984.13020162597</v>
      </c>
      <c r="P25" s="354">
        <f t="shared" si="4"/>
        <v>102984.13020162597</v>
      </c>
      <c r="Q25" s="354">
        <f t="shared" si="4"/>
        <v>102984.13020162597</v>
      </c>
      <c r="R25" s="354">
        <f t="shared" si="4"/>
        <v>102984.13020162597</v>
      </c>
      <c r="S25" s="354">
        <f t="shared" si="4"/>
        <v>96318.860127346998</v>
      </c>
      <c r="T25" s="354">
        <f t="shared" si="4"/>
        <v>75182.426887362744</v>
      </c>
      <c r="U25" s="354">
        <f t="shared" si="4"/>
        <v>75182.426887362744</v>
      </c>
      <c r="V25" s="354">
        <f t="shared" si="4"/>
        <v>75182.426887362744</v>
      </c>
      <c r="W25" s="354">
        <f t="shared" si="4"/>
        <v>75182.426887362744</v>
      </c>
      <c r="X25" s="354">
        <f t="shared" si="4"/>
        <v>781313.11841705639</v>
      </c>
    </row>
    <row r="26" spans="1:24">
      <c r="A26" s="434" t="s">
        <v>43</v>
      </c>
      <c r="B26" s="435"/>
      <c r="C26" s="436"/>
      <c r="D26" s="354">
        <f>(D22*15%)+IF(D22&gt;240,(D22-240)*10%,0)</f>
        <v>-4500</v>
      </c>
      <c r="E26" s="354">
        <f t="shared" ref="E26:X26" si="5">(E22*15%)+IF(E22&gt;240,(E22-240)*10%,0)</f>
        <v>279143.77233784989</v>
      </c>
      <c r="F26" s="354">
        <f t="shared" si="5"/>
        <v>279143.77233784989</v>
      </c>
      <c r="G26" s="354">
        <f t="shared" si="5"/>
        <v>279143.77233784989</v>
      </c>
      <c r="H26" s="354">
        <f t="shared" si="5"/>
        <v>279143.77233784989</v>
      </c>
      <c r="I26" s="354">
        <f t="shared" si="5"/>
        <v>260629.13324263052</v>
      </c>
      <c r="J26" s="354">
        <f t="shared" si="5"/>
        <v>201916.81868711871</v>
      </c>
      <c r="K26" s="354">
        <f t="shared" si="5"/>
        <v>201916.81868711871</v>
      </c>
      <c r="L26" s="354">
        <f t="shared" si="5"/>
        <v>201916.81868711871</v>
      </c>
      <c r="M26" s="354">
        <f t="shared" si="5"/>
        <v>201916.81868711871</v>
      </c>
      <c r="N26" s="354">
        <f t="shared" si="5"/>
        <v>229011.45778233814</v>
      </c>
      <c r="O26" s="354">
        <f t="shared" si="5"/>
        <v>286043.02833784994</v>
      </c>
      <c r="P26" s="354">
        <f t="shared" si="5"/>
        <v>286043.02833784994</v>
      </c>
      <c r="Q26" s="354">
        <f t="shared" si="5"/>
        <v>286043.02833784994</v>
      </c>
      <c r="R26" s="354">
        <f t="shared" si="5"/>
        <v>286043.02833784994</v>
      </c>
      <c r="S26" s="354">
        <f t="shared" si="5"/>
        <v>267528.38924263057</v>
      </c>
      <c r="T26" s="354">
        <f t="shared" si="5"/>
        <v>208816.07468711876</v>
      </c>
      <c r="U26" s="354">
        <f t="shared" si="5"/>
        <v>208816.07468711876</v>
      </c>
      <c r="V26" s="354">
        <f t="shared" si="5"/>
        <v>208816.07468711876</v>
      </c>
      <c r="W26" s="354">
        <f t="shared" si="5"/>
        <v>208816.07468711876</v>
      </c>
      <c r="X26" s="354">
        <f t="shared" si="5"/>
        <v>2170290.2178251566</v>
      </c>
    </row>
    <row r="28" spans="1:24">
      <c r="A28" s="353" t="s">
        <v>46</v>
      </c>
      <c r="B28" s="353"/>
      <c r="C28" s="353"/>
      <c r="D28" s="354">
        <f>IF(D25&lt;0,D25,D25*30%)</f>
        <v>-2700</v>
      </c>
      <c r="E28" s="354">
        <f t="shared" ref="E28:X28" si="6">IF(E25&lt;0,E25,E25*30%)</f>
        <v>30150.119412487787</v>
      </c>
      <c r="F28" s="354">
        <f t="shared" si="6"/>
        <v>30150.119412487787</v>
      </c>
      <c r="G28" s="354">
        <f t="shared" si="6"/>
        <v>30150.119412487787</v>
      </c>
      <c r="H28" s="354">
        <f t="shared" si="6"/>
        <v>30150.119412487787</v>
      </c>
      <c r="I28" s="354">
        <f t="shared" si="6"/>
        <v>28150.538390204096</v>
      </c>
      <c r="J28" s="354">
        <f t="shared" si="6"/>
        <v>21809.60841820882</v>
      </c>
      <c r="K28" s="354">
        <f t="shared" si="6"/>
        <v>21809.60841820882</v>
      </c>
      <c r="L28" s="354">
        <f t="shared" si="6"/>
        <v>21809.60841820882</v>
      </c>
      <c r="M28" s="354">
        <f t="shared" si="6"/>
        <v>21809.60841820882</v>
      </c>
      <c r="N28" s="354">
        <f t="shared" si="6"/>
        <v>24735.829440492515</v>
      </c>
      <c r="O28" s="354">
        <f t="shared" si="6"/>
        <v>30895.239060487791</v>
      </c>
      <c r="P28" s="354">
        <f t="shared" si="6"/>
        <v>30895.239060487791</v>
      </c>
      <c r="Q28" s="354">
        <f t="shared" si="6"/>
        <v>30895.239060487791</v>
      </c>
      <c r="R28" s="354">
        <f t="shared" si="6"/>
        <v>30895.239060487791</v>
      </c>
      <c r="S28" s="354">
        <f t="shared" si="6"/>
        <v>28895.658038204099</v>
      </c>
      <c r="T28" s="354">
        <f t="shared" si="6"/>
        <v>22554.728066208823</v>
      </c>
      <c r="U28" s="354">
        <f t="shared" si="6"/>
        <v>22554.728066208823</v>
      </c>
      <c r="V28" s="354">
        <f t="shared" si="6"/>
        <v>22554.728066208823</v>
      </c>
      <c r="W28" s="354">
        <f t="shared" si="6"/>
        <v>22554.728066208823</v>
      </c>
      <c r="X28" s="354">
        <f t="shared" si="6"/>
        <v>234393.93552511692</v>
      </c>
    </row>
    <row r="29" spans="1:24">
      <c r="A29" s="353" t="s">
        <v>44</v>
      </c>
      <c r="B29" s="353"/>
      <c r="C29" s="353"/>
      <c r="D29" s="354">
        <f t="shared" ref="D29" si="7">IF((D28+C29&gt;0),0,D28+C29)</f>
        <v>-2700</v>
      </c>
      <c r="E29" s="354">
        <f t="shared" ref="E29" si="8">IF((E28+D29&gt;0),0,E28+D29)</f>
        <v>0</v>
      </c>
      <c r="F29" s="354">
        <f t="shared" ref="F29" si="9">IF((F28+E29&gt;0),0,F28+E29)</f>
        <v>0</v>
      </c>
      <c r="G29" s="354">
        <f t="shared" ref="G29" si="10">IF((G28+F29&gt;0),0,G28+F29)</f>
        <v>0</v>
      </c>
      <c r="H29" s="354">
        <f t="shared" ref="H29" si="11">IF((H28+G29&gt;0),0,H28+G29)</f>
        <v>0</v>
      </c>
      <c r="I29" s="354">
        <f t="shared" ref="I29" si="12">IF((I28+H29&gt;0),0,I28+H29)</f>
        <v>0</v>
      </c>
      <c r="J29" s="354">
        <f t="shared" ref="J29" si="13">IF((J28+I29&gt;0),0,J28+I29)</f>
        <v>0</v>
      </c>
      <c r="K29" s="354">
        <f t="shared" ref="K29" si="14">IF((K28+J29&gt;0),0,K28+J29)</f>
        <v>0</v>
      </c>
      <c r="L29" s="354">
        <f t="shared" ref="L29" si="15">IF((L28+K29&gt;0),0,L28+K29)</f>
        <v>0</v>
      </c>
      <c r="M29" s="354">
        <f t="shared" ref="M29" si="16">IF((M28+L29&gt;0),0,M28+L29)</f>
        <v>0</v>
      </c>
      <c r="N29" s="354">
        <f t="shared" ref="N29" si="17">IF((N28+M29&gt;0),0,N28+M29)</f>
        <v>0</v>
      </c>
      <c r="O29" s="354">
        <f t="shared" ref="O29" si="18">IF((O28+N29&gt;0),0,O28+N29)</f>
        <v>0</v>
      </c>
      <c r="P29" s="354">
        <f t="shared" ref="P29" si="19">IF((P28+O29&gt;0),0,P28+O29)</f>
        <v>0</v>
      </c>
      <c r="Q29" s="354">
        <f t="shared" ref="Q29" si="20">IF((Q28+P29&gt;0),0,Q28+P29)</f>
        <v>0</v>
      </c>
      <c r="R29" s="354">
        <f t="shared" ref="R29" si="21">IF((R28+Q29&gt;0),0,R28+Q29)</f>
        <v>0</v>
      </c>
      <c r="S29" s="354">
        <f t="shared" ref="S29" si="22">IF((S28+R29&gt;0),0,S28+R29)</f>
        <v>0</v>
      </c>
      <c r="T29" s="354">
        <f t="shared" ref="T29" si="23">IF((T28+S29&gt;0),0,T28+S29)</f>
        <v>0</v>
      </c>
      <c r="U29" s="354">
        <f t="shared" ref="U29" si="24">IF((U28+T29&gt;0),0,U28+T29)</f>
        <v>0</v>
      </c>
      <c r="V29" s="354">
        <f t="shared" ref="V29" si="25">IF((V28+U29&gt;0),0,V28+U29)</f>
        <v>0</v>
      </c>
      <c r="W29" s="354">
        <f t="shared" ref="W29" si="26">IF((W28+V29&gt;0),0,W28+V29)</f>
        <v>0</v>
      </c>
      <c r="X29" s="354">
        <f t="shared" ref="X29" si="27">IF((X28+W29&gt;0),0,X28+W29)</f>
        <v>0</v>
      </c>
    </row>
    <row r="30" spans="1:24">
      <c r="A30" s="353" t="s">
        <v>47</v>
      </c>
      <c r="B30" s="353"/>
      <c r="C30" s="353"/>
      <c r="D30" s="354">
        <f t="shared" ref="D30" si="28">IF(D28&lt;0,0,IF(C29&gt;=0,D25,IF(D28&gt;(C29*-1),D25+C29,D25-D28)))</f>
        <v>0</v>
      </c>
      <c r="E30" s="354">
        <f t="shared" ref="E30" si="29">IF(E28&lt;0,0,IF(D29&gt;=0,E25,IF(E28&gt;(D29*-1),E25+D29,E25-E28)))</f>
        <v>97800.398041625958</v>
      </c>
      <c r="F30" s="354">
        <f t="shared" ref="F30" si="30">IF(F28&lt;0,0,IF(E29&gt;=0,F25,IF(F28&gt;(E29*-1),F25+E29,F25-F28)))</f>
        <v>100500.39804162596</v>
      </c>
      <c r="G30" s="354">
        <f t="shared" ref="G30" si="31">IF(G28&lt;0,0,IF(F29&gt;=0,G25,IF(G28&gt;(F29*-1),G25+F29,G25-G28)))</f>
        <v>100500.39804162596</v>
      </c>
      <c r="H30" s="354">
        <f t="shared" ref="H30" si="32">IF(H28&lt;0,0,IF(G29&gt;=0,H25,IF(H28&gt;(G29*-1),H25+G29,H25-H28)))</f>
        <v>100500.39804162596</v>
      </c>
      <c r="I30" s="354">
        <f t="shared" ref="I30" si="33">IF(I28&lt;0,0,IF(H29&gt;=0,I25,IF(I28&gt;(H29*-1),I25+H29,I25-I28)))</f>
        <v>93835.127967346983</v>
      </c>
      <c r="J30" s="354">
        <f t="shared" ref="J30" si="34">IF(J28&lt;0,0,IF(I29&gt;=0,J25,IF(J28&gt;(I29*-1),J25+I29,J25-J28)))</f>
        <v>72698.69472736273</v>
      </c>
      <c r="K30" s="354">
        <f t="shared" ref="K30" si="35">IF(K28&lt;0,0,IF(J29&gt;=0,K25,IF(K28&gt;(J29*-1),K25+J29,K25-K28)))</f>
        <v>72698.69472736273</v>
      </c>
      <c r="L30" s="354">
        <f t="shared" ref="L30" si="36">IF(L28&lt;0,0,IF(K29&gt;=0,L25,IF(L28&gt;(K29*-1),L25+K29,L25-L28)))</f>
        <v>72698.69472736273</v>
      </c>
      <c r="M30" s="354">
        <f t="shared" ref="M30" si="37">IF(M28&lt;0,0,IF(L29&gt;=0,M25,IF(M28&gt;(L29*-1),M25+L29,M25-M28)))</f>
        <v>72698.69472736273</v>
      </c>
      <c r="N30" s="354">
        <f t="shared" ref="N30" si="38">IF(N28&lt;0,0,IF(M29&gt;=0,N25,IF(N28&gt;(M29*-1),N25+M29,N25-N28)))</f>
        <v>82452.764801641722</v>
      </c>
      <c r="O30" s="354">
        <f t="shared" ref="O30" si="39">IF(O28&lt;0,0,IF(N29&gt;=0,O25,IF(O28&gt;(N29*-1),O25+N29,O25-O28)))</f>
        <v>102984.13020162597</v>
      </c>
      <c r="P30" s="354">
        <f t="shared" ref="P30" si="40">IF(P28&lt;0,0,IF(O29&gt;=0,P25,IF(P28&gt;(O29*-1),P25+O29,P25-P28)))</f>
        <v>102984.13020162597</v>
      </c>
      <c r="Q30" s="354">
        <f t="shared" ref="Q30" si="41">IF(Q28&lt;0,0,IF(P29&gt;=0,Q25,IF(Q28&gt;(P29*-1),Q25+P29,Q25-Q28)))</f>
        <v>102984.13020162597</v>
      </c>
      <c r="R30" s="354">
        <f t="shared" ref="R30" si="42">IF(R28&lt;0,0,IF(Q29&gt;=0,R25,IF(R28&gt;(Q29*-1),R25+Q29,R25-R28)))</f>
        <v>102984.13020162597</v>
      </c>
      <c r="S30" s="354">
        <f t="shared" ref="S30" si="43">IF(S28&lt;0,0,IF(R29&gt;=0,S25,IF(S28&gt;(R29*-1),S25+R29,S25-S28)))</f>
        <v>96318.860127346998</v>
      </c>
      <c r="T30" s="354">
        <f t="shared" ref="T30" si="44">IF(T28&lt;0,0,IF(S29&gt;=0,T25,IF(T28&gt;(S29*-1),T25+S29,T25-T28)))</f>
        <v>75182.426887362744</v>
      </c>
      <c r="U30" s="354">
        <f t="shared" ref="U30" si="45">IF(U28&lt;0,0,IF(T29&gt;=0,U25,IF(U28&gt;(T29*-1),U25+T29,U25-U28)))</f>
        <v>75182.426887362744</v>
      </c>
      <c r="V30" s="354">
        <f t="shared" ref="V30" si="46">IF(V28&lt;0,0,IF(U29&gt;=0,V25,IF(V28&gt;(U29*-1),V25+U29,V25-V28)))</f>
        <v>75182.426887362744</v>
      </c>
      <c r="W30" s="354">
        <f t="shared" ref="W30" si="47">IF(W28&lt;0,0,IF(V29&gt;=0,W25,IF(W28&gt;(V29*-1),W25+V29,W25-W28)))</f>
        <v>75182.426887362744</v>
      </c>
      <c r="X30" s="354">
        <f t="shared" ref="X30" si="48">IF(X28&lt;0,0,IF(W29&gt;=0,X25,IF(X28&gt;(W29*-1),X25+W29,X25-X28)))</f>
        <v>781313.11841705639</v>
      </c>
    </row>
    <row r="32" spans="1:24">
      <c r="A32" s="353" t="s">
        <v>48</v>
      </c>
      <c r="B32" s="353"/>
      <c r="C32" s="353"/>
      <c r="D32" s="354">
        <f>IF(D26&lt;0,D26,D26*30%)</f>
        <v>-4500</v>
      </c>
      <c r="E32" s="354">
        <f t="shared" ref="E32:X32" si="49">IF(E26&lt;0,E26,E26*30%)</f>
        <v>83743.131701354971</v>
      </c>
      <c r="F32" s="354">
        <f t="shared" si="49"/>
        <v>83743.131701354971</v>
      </c>
      <c r="G32" s="354">
        <f t="shared" si="49"/>
        <v>83743.131701354971</v>
      </c>
      <c r="H32" s="354">
        <f t="shared" si="49"/>
        <v>83743.131701354971</v>
      </c>
      <c r="I32" s="354">
        <f t="shared" si="49"/>
        <v>78188.739972789146</v>
      </c>
      <c r="J32" s="354">
        <f t="shared" si="49"/>
        <v>60575.045606135609</v>
      </c>
      <c r="K32" s="354">
        <f t="shared" si="49"/>
        <v>60575.045606135609</v>
      </c>
      <c r="L32" s="354">
        <f t="shared" si="49"/>
        <v>60575.045606135609</v>
      </c>
      <c r="M32" s="354">
        <f t="shared" si="49"/>
        <v>60575.045606135609</v>
      </c>
      <c r="N32" s="354">
        <f t="shared" si="49"/>
        <v>68703.437334701433</v>
      </c>
      <c r="O32" s="354">
        <f t="shared" si="49"/>
        <v>85812.908501354977</v>
      </c>
      <c r="P32" s="354">
        <f t="shared" si="49"/>
        <v>85812.908501354977</v>
      </c>
      <c r="Q32" s="354">
        <f t="shared" si="49"/>
        <v>85812.908501354977</v>
      </c>
      <c r="R32" s="354">
        <f t="shared" si="49"/>
        <v>85812.908501354977</v>
      </c>
      <c r="S32" s="354">
        <f t="shared" si="49"/>
        <v>80258.516772789168</v>
      </c>
      <c r="T32" s="354">
        <f t="shared" si="49"/>
        <v>62644.822406135623</v>
      </c>
      <c r="U32" s="354">
        <f t="shared" si="49"/>
        <v>62644.822406135623</v>
      </c>
      <c r="V32" s="354">
        <f t="shared" si="49"/>
        <v>62644.822406135623</v>
      </c>
      <c r="W32" s="354">
        <f t="shared" si="49"/>
        <v>62644.822406135623</v>
      </c>
      <c r="X32" s="354">
        <f t="shared" si="49"/>
        <v>651087.06534754694</v>
      </c>
    </row>
    <row r="33" spans="1:24">
      <c r="A33" s="353" t="s">
        <v>45</v>
      </c>
      <c r="B33" s="353"/>
      <c r="C33" s="353"/>
      <c r="D33" s="354">
        <f>IF((D32+C33&gt;0),0,D32+C33)</f>
        <v>-4500</v>
      </c>
      <c r="E33" s="354">
        <f t="shared" ref="E33:X33" si="50">IF((E32+D33&gt;0),0,E32+D33)</f>
        <v>0</v>
      </c>
      <c r="F33" s="354">
        <f t="shared" si="50"/>
        <v>0</v>
      </c>
      <c r="G33" s="354">
        <f t="shared" si="50"/>
        <v>0</v>
      </c>
      <c r="H33" s="354">
        <f t="shared" si="50"/>
        <v>0</v>
      </c>
      <c r="I33" s="354">
        <f t="shared" si="50"/>
        <v>0</v>
      </c>
      <c r="J33" s="354">
        <f t="shared" si="50"/>
        <v>0</v>
      </c>
      <c r="K33" s="354">
        <f t="shared" si="50"/>
        <v>0</v>
      </c>
      <c r="L33" s="354">
        <f t="shared" si="50"/>
        <v>0</v>
      </c>
      <c r="M33" s="354">
        <f t="shared" si="50"/>
        <v>0</v>
      </c>
      <c r="N33" s="354">
        <f t="shared" si="50"/>
        <v>0</v>
      </c>
      <c r="O33" s="354">
        <f t="shared" si="50"/>
        <v>0</v>
      </c>
      <c r="P33" s="354">
        <f t="shared" si="50"/>
        <v>0</v>
      </c>
      <c r="Q33" s="354">
        <f t="shared" si="50"/>
        <v>0</v>
      </c>
      <c r="R33" s="354">
        <f t="shared" si="50"/>
        <v>0</v>
      </c>
      <c r="S33" s="354">
        <f t="shared" si="50"/>
        <v>0</v>
      </c>
      <c r="T33" s="354">
        <f t="shared" si="50"/>
        <v>0</v>
      </c>
      <c r="U33" s="354">
        <f t="shared" si="50"/>
        <v>0</v>
      </c>
      <c r="V33" s="354">
        <f t="shared" si="50"/>
        <v>0</v>
      </c>
      <c r="W33" s="354">
        <f t="shared" si="50"/>
        <v>0</v>
      </c>
      <c r="X33" s="354">
        <f t="shared" si="50"/>
        <v>0</v>
      </c>
    </row>
    <row r="34" spans="1:24">
      <c r="A34" s="353" t="s">
        <v>49</v>
      </c>
      <c r="B34" s="353"/>
      <c r="C34" s="353"/>
      <c r="D34" s="354">
        <f t="shared" ref="D34" si="51">IF(D32&lt;0,0,IF(C33&gt;=0,D26,IF(D32&gt;(C33*-1),D26+C33,D26-D32)))</f>
        <v>0</v>
      </c>
      <c r="E34" s="354">
        <f t="shared" ref="E34" si="52">IF(E32&lt;0,0,IF(D33&gt;=0,E26,IF(E32&gt;(D33*-1),E26+D33,E26-E32)))</f>
        <v>274643.77233784989</v>
      </c>
      <c r="F34" s="354">
        <f t="shared" ref="F34" si="53">IF(F32&lt;0,0,IF(E33&gt;=0,F26,IF(F32&gt;(E33*-1),F26+E33,F26-F32)))</f>
        <v>279143.77233784989</v>
      </c>
      <c r="G34" s="354">
        <f t="shared" ref="G34" si="54">IF(G32&lt;0,0,IF(F33&gt;=0,G26,IF(G32&gt;(F33*-1),G26+F33,G26-G32)))</f>
        <v>279143.77233784989</v>
      </c>
      <c r="H34" s="354">
        <f t="shared" ref="H34" si="55">IF(H32&lt;0,0,IF(G33&gt;=0,H26,IF(H32&gt;(G33*-1),H26+G33,H26-H32)))</f>
        <v>279143.77233784989</v>
      </c>
      <c r="I34" s="354">
        <f t="shared" ref="I34" si="56">IF(I32&lt;0,0,IF(H33&gt;=0,I26,IF(I32&gt;(H33*-1),I26+H33,I26-I32)))</f>
        <v>260629.13324263052</v>
      </c>
      <c r="J34" s="354">
        <f t="shared" ref="J34" si="57">IF(J32&lt;0,0,IF(I33&gt;=0,J26,IF(J32&gt;(I33*-1),J26+I33,J26-J32)))</f>
        <v>201916.81868711871</v>
      </c>
      <c r="K34" s="354">
        <f t="shared" ref="K34" si="58">IF(K32&lt;0,0,IF(J33&gt;=0,K26,IF(K32&gt;(J33*-1),K26+J33,K26-K32)))</f>
        <v>201916.81868711871</v>
      </c>
      <c r="L34" s="354">
        <f t="shared" ref="L34" si="59">IF(L32&lt;0,0,IF(K33&gt;=0,L26,IF(L32&gt;(K33*-1),L26+K33,L26-L32)))</f>
        <v>201916.81868711871</v>
      </c>
      <c r="M34" s="354">
        <f t="shared" ref="M34" si="60">IF(M32&lt;0,0,IF(L33&gt;=0,M26,IF(M32&gt;(L33*-1),M26+L33,M26-M32)))</f>
        <v>201916.81868711871</v>
      </c>
      <c r="N34" s="354">
        <f t="shared" ref="N34" si="61">IF(N32&lt;0,0,IF(M33&gt;=0,N26,IF(N32&gt;(M33*-1),N26+M33,N26-N32)))</f>
        <v>229011.45778233814</v>
      </c>
      <c r="O34" s="354">
        <f t="shared" ref="O34" si="62">IF(O32&lt;0,0,IF(N33&gt;=0,O26,IF(O32&gt;(N33*-1),O26+N33,O26-O32)))</f>
        <v>286043.02833784994</v>
      </c>
      <c r="P34" s="354">
        <f t="shared" ref="P34" si="63">IF(P32&lt;0,0,IF(O33&gt;=0,P26,IF(P32&gt;(O33*-1),P26+O33,P26-P32)))</f>
        <v>286043.02833784994</v>
      </c>
      <c r="Q34" s="354">
        <f t="shared" ref="Q34" si="64">IF(Q32&lt;0,0,IF(P33&gt;=0,Q26,IF(Q32&gt;(P33*-1),Q26+P33,Q26-Q32)))</f>
        <v>286043.02833784994</v>
      </c>
      <c r="R34" s="354">
        <f t="shared" ref="R34" si="65">IF(R32&lt;0,0,IF(Q33&gt;=0,R26,IF(R32&gt;(Q33*-1),R26+Q33,R26-R32)))</f>
        <v>286043.02833784994</v>
      </c>
      <c r="S34" s="354">
        <f t="shared" ref="S34" si="66">IF(S32&lt;0,0,IF(R33&gt;=0,S26,IF(S32&gt;(R33*-1),S26+R33,S26-S32)))</f>
        <v>267528.38924263057</v>
      </c>
      <c r="T34" s="354">
        <f t="shared" ref="T34" si="67">IF(T32&lt;0,0,IF(S33&gt;=0,T26,IF(T32&gt;(S33*-1),T26+S33,T26-T32)))</f>
        <v>208816.07468711876</v>
      </c>
      <c r="U34" s="354">
        <f t="shared" ref="U34" si="68">IF(U32&lt;0,0,IF(T33&gt;=0,U26,IF(U32&gt;(T33*-1),U26+T33,U26-U32)))</f>
        <v>208816.07468711876</v>
      </c>
      <c r="V34" s="354">
        <f t="shared" ref="V34" si="69">IF(V32&lt;0,0,IF(U33&gt;=0,V26,IF(V32&gt;(U33*-1),V26+U33,V26-V32)))</f>
        <v>208816.07468711876</v>
      </c>
      <c r="W34" s="354">
        <f t="shared" ref="W34" si="70">IF(W32&lt;0,0,IF(V33&gt;=0,W26,IF(W32&gt;(V33*-1),W26+V33,W26-W32)))</f>
        <v>208816.07468711876</v>
      </c>
      <c r="X34" s="354">
        <f t="shared" ref="X34" si="71">IF(X32&lt;0,0,IF(W33&gt;=0,X26,IF(X32&gt;(W33*-1),X26+W33,X26-X32)))</f>
        <v>2170290.2178251566</v>
      </c>
    </row>
    <row r="35" spans="1:24" ht="15" customHeight="1"/>
    <row r="36" spans="1:24" ht="15" customHeight="1"/>
    <row r="37" spans="1:24" ht="15" customHeight="1"/>
    <row r="38" spans="1:24" ht="15" customHeight="1"/>
    <row r="39" spans="1:24" ht="15" customHeight="1"/>
    <row r="40" spans="1:24" ht="15" customHeight="1"/>
    <row r="41" spans="1:24" ht="15" customHeight="1"/>
    <row r="42" spans="1:24" ht="15" customHeight="1"/>
    <row r="43" spans="1:24" ht="15" customHeight="1"/>
    <row r="44" spans="1:24" ht="15" customHeight="1"/>
    <row r="45" spans="1:24" ht="15" customHeight="1"/>
    <row r="46" spans="1:24" ht="15" customHeight="1"/>
    <row r="47" spans="1:24" ht="15" customHeight="1"/>
    <row r="48" spans="1:24" ht="15" customHeight="1"/>
    <row r="49" ht="15" customHeight="1"/>
  </sheetData>
  <sheetProtection algorithmName="SHA-512" hashValue="OvdYgAq6c57Gp+eCLrZ97/y8joGgr5BeVUhwF6okOIs1Rb2b7YV2+3OClRDTaW8y8pcuvkVpIKz4pyKipM8waw==" saltValue="5RpcpvK7hQglm0BB/FgmlA==" spinCount="100000" sheet="1" objects="1" scenarios="1" selectLockedCells="1" selectUnlockedCells="1"/>
  <mergeCells count="2">
    <mergeCell ref="A25:C25"/>
    <mergeCell ref="A26:C26"/>
  </mergeCells>
  <phoneticPr fontId="120" type="noConversion"/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6"/>
  <dimension ref="A1:W28"/>
  <sheetViews>
    <sheetView showGridLines="0" zoomScale="110" zoomScaleNormal="110" workbookViewId="0">
      <pane xSplit="1" ySplit="6" topLeftCell="B7" activePane="bottomRight" state="frozen"/>
      <selection activeCell="E13" sqref="E13"/>
      <selection pane="topRight" activeCell="E13" sqref="E13"/>
      <selection pane="bottomLeft" activeCell="E13" sqref="E13"/>
      <selection pane="bottomRight" activeCell="E25" sqref="E25"/>
    </sheetView>
  </sheetViews>
  <sheetFormatPr defaultColWidth="7.140625" defaultRowHeight="12.75"/>
  <cols>
    <col min="1" max="1" width="42" style="355" customWidth="1"/>
    <col min="2" max="2" width="10.7109375" style="356" customWidth="1"/>
    <col min="3" max="5" width="10.85546875" style="356" customWidth="1"/>
    <col min="6" max="9" width="9.85546875" style="356" customWidth="1"/>
    <col min="10" max="11" width="9.85546875" style="355" customWidth="1"/>
    <col min="12" max="14" width="9.85546875" style="355" bestFit="1" customWidth="1"/>
    <col min="15" max="15" width="10.85546875" style="355" bestFit="1" customWidth="1"/>
    <col min="16" max="21" width="9.85546875" style="355" bestFit="1" customWidth="1"/>
    <col min="22" max="22" width="7.7109375" style="355" bestFit="1" customWidth="1"/>
    <col min="23" max="23" width="10.5703125" style="355" bestFit="1" customWidth="1"/>
    <col min="24" max="16384" width="7.140625" style="355"/>
  </cols>
  <sheetData>
    <row r="1" spans="1:23">
      <c r="G1" s="357"/>
    </row>
    <row r="2" spans="1:23">
      <c r="A2" s="356"/>
    </row>
    <row r="3" spans="1:23">
      <c r="A3" s="358" t="s">
        <v>41</v>
      </c>
    </row>
    <row r="4" spans="1:23">
      <c r="A4" s="356"/>
    </row>
    <row r="5" spans="1:23">
      <c r="A5" s="356"/>
    </row>
    <row r="6" spans="1:23">
      <c r="A6" s="359" t="s">
        <v>242</v>
      </c>
      <c r="B6" s="360" t="s">
        <v>1</v>
      </c>
      <c r="C6" s="360" t="s">
        <v>2</v>
      </c>
      <c r="D6" s="360" t="s">
        <v>3</v>
      </c>
      <c r="E6" s="360" t="s">
        <v>4</v>
      </c>
      <c r="F6" s="360" t="s">
        <v>5</v>
      </c>
      <c r="G6" s="360" t="s">
        <v>14</v>
      </c>
      <c r="H6" s="360" t="s">
        <v>15</v>
      </c>
      <c r="I6" s="360" t="s">
        <v>16</v>
      </c>
      <c r="J6" s="360" t="s">
        <v>17</v>
      </c>
      <c r="K6" s="360" t="s">
        <v>18</v>
      </c>
      <c r="L6" s="303" t="s">
        <v>56</v>
      </c>
      <c r="M6" s="303" t="s">
        <v>57</v>
      </c>
      <c r="N6" s="303" t="s">
        <v>58</v>
      </c>
      <c r="O6" s="303" t="s">
        <v>59</v>
      </c>
      <c r="P6" s="303" t="s">
        <v>60</v>
      </c>
      <c r="Q6" s="303" t="s">
        <v>221</v>
      </c>
      <c r="R6" s="303" t="s">
        <v>222</v>
      </c>
      <c r="S6" s="303" t="s">
        <v>223</v>
      </c>
      <c r="T6" s="303" t="s">
        <v>224</v>
      </c>
      <c r="U6" s="303" t="s">
        <v>225</v>
      </c>
    </row>
    <row r="7" spans="1:23">
      <c r="A7" s="361" t="s">
        <v>79</v>
      </c>
      <c r="B7" s="362">
        <f>'Q7. Convencional'!C47*'Q8.a-Preço-Veíc. Op.'!$B$7*$B$18</f>
        <v>1698992.980316085</v>
      </c>
      <c r="C7" s="362">
        <f>'Q7. Convencional'!D47*'Q8.a-Preço-Veíc. Op.'!$B$7*$B$18</f>
        <v>1698992.980316085</v>
      </c>
      <c r="D7" s="362">
        <f>'Q7. Convencional'!E47*'Q8.a-Preço-Veíc. Op.'!$B$7*$B$18</f>
        <v>1698992.980316085</v>
      </c>
      <c r="E7" s="362">
        <f>'Q7. Convencional'!F47*'Q8.a-Preço-Veíc. Op.'!$B$7*$B$18</f>
        <v>1698992.980316085</v>
      </c>
      <c r="F7" s="362">
        <f>'Q7. Convencional'!G47*'Q8.a-Preço-Veíc. Op.'!$B$7*$B$18</f>
        <v>1853446.8876175475</v>
      </c>
      <c r="G7" s="362">
        <f>'Q7. Convencional'!H47*'Q8.a-Preço-Veíc. Op.'!$B$7*$B$18</f>
        <v>2007900.7949190098</v>
      </c>
      <c r="H7" s="362">
        <f>'Q7. Convencional'!I47*'Q8.a-Preço-Veíc. Op.'!$B$7*$B$18</f>
        <v>2007900.7949190098</v>
      </c>
      <c r="I7" s="362">
        <f>'Q7. Convencional'!J47*'Q8.a-Preço-Veíc. Op.'!$B$7*$B$18</f>
        <v>2007900.7949190098</v>
      </c>
      <c r="J7" s="362">
        <f>'Q7. Convencional'!K47*'Q8.a-Preço-Veíc. Op.'!$B$7*$B$18</f>
        <v>2007900.7949190098</v>
      </c>
      <c r="K7" s="362">
        <f>'Q7. Convencional'!L47*'Q8.a-Preço-Veíc. Op.'!$B$7*$B$18</f>
        <v>1853446.8876175475</v>
      </c>
      <c r="L7" s="362">
        <f>'Q7. Convencional'!M47*'Q8.a-Preço-Veíc. Op.'!$B$7*$B$18</f>
        <v>1698992.980316085</v>
      </c>
      <c r="M7" s="362">
        <f>'Q7. Convencional'!N47*'Q8.a-Preço-Veíc. Op.'!$B$7*$B$18</f>
        <v>1698992.980316085</v>
      </c>
      <c r="N7" s="362">
        <f>'Q7. Convencional'!O47*'Q8.a-Preço-Veíc. Op.'!$B$7*$B$18</f>
        <v>1698992.980316085</v>
      </c>
      <c r="O7" s="362">
        <f>'Q7. Convencional'!P47*'Q8.a-Preço-Veíc. Op.'!$B$7*$B$18</f>
        <v>1698992.980316085</v>
      </c>
      <c r="P7" s="362">
        <f>'Q7. Convencional'!Q47*'Q8.a-Preço-Veíc. Op.'!$B$7*$B$18</f>
        <v>1853446.8876175475</v>
      </c>
      <c r="Q7" s="362">
        <f>'Q7. Convencional'!R47*'Q8.a-Preço-Veíc. Op.'!$B$7*$B$18</f>
        <v>2007900.7949190098</v>
      </c>
      <c r="R7" s="362">
        <f>'Q7. Convencional'!S47*'Q8.a-Preço-Veíc. Op.'!$B$7*$B$18</f>
        <v>2007900.7949190098</v>
      </c>
      <c r="S7" s="362">
        <f>'Q7. Convencional'!T47*'Q8.a-Preço-Veíc. Op.'!$B$7*$B$18</f>
        <v>2007900.7949190098</v>
      </c>
      <c r="T7" s="362">
        <f>'Q7. Convencional'!U47*'Q8.a-Preço-Veíc. Op.'!$B$7*$B$18</f>
        <v>2007900.7949190098</v>
      </c>
      <c r="U7" s="362">
        <f>'Q7. Convencional'!V47*'Q8.a-Preço-Veíc. Op.'!$B$7*$B$18</f>
        <v>1853446.8876175475</v>
      </c>
      <c r="V7" s="356"/>
      <c r="W7" s="61"/>
    </row>
    <row r="8" spans="1:23">
      <c r="A8" s="265" t="s">
        <v>72</v>
      </c>
      <c r="B8" s="362">
        <f>+'Q11-Garagens'!B13*$B$22</f>
        <v>30663.360000000001</v>
      </c>
      <c r="C8" s="362">
        <f t="shared" ref="C8:K8" si="0">+B8</f>
        <v>30663.360000000001</v>
      </c>
      <c r="D8" s="362">
        <f t="shared" si="0"/>
        <v>30663.360000000001</v>
      </c>
      <c r="E8" s="362">
        <f t="shared" si="0"/>
        <v>30663.360000000001</v>
      </c>
      <c r="F8" s="362">
        <f t="shared" si="0"/>
        <v>30663.360000000001</v>
      </c>
      <c r="G8" s="362">
        <f t="shared" si="0"/>
        <v>30663.360000000001</v>
      </c>
      <c r="H8" s="362">
        <f t="shared" si="0"/>
        <v>30663.360000000001</v>
      </c>
      <c r="I8" s="362">
        <f t="shared" si="0"/>
        <v>30663.360000000001</v>
      </c>
      <c r="J8" s="362">
        <f t="shared" si="0"/>
        <v>30663.360000000001</v>
      </c>
      <c r="K8" s="362">
        <f t="shared" si="0"/>
        <v>30663.360000000001</v>
      </c>
      <c r="L8" s="362">
        <f>+'Q11-Garagens'!M13*$B$22</f>
        <v>3066.3360000000002</v>
      </c>
      <c r="M8" s="362">
        <f t="shared" ref="M8:U8" si="1">+L8</f>
        <v>3066.3360000000002</v>
      </c>
      <c r="N8" s="362">
        <f t="shared" si="1"/>
        <v>3066.3360000000002</v>
      </c>
      <c r="O8" s="362">
        <f t="shared" si="1"/>
        <v>3066.3360000000002</v>
      </c>
      <c r="P8" s="362">
        <f t="shared" si="1"/>
        <v>3066.3360000000002</v>
      </c>
      <c r="Q8" s="362">
        <f t="shared" si="1"/>
        <v>3066.3360000000002</v>
      </c>
      <c r="R8" s="362">
        <f t="shared" si="1"/>
        <v>3066.3360000000002</v>
      </c>
      <c r="S8" s="362">
        <f t="shared" si="1"/>
        <v>3066.3360000000002</v>
      </c>
      <c r="T8" s="362">
        <f t="shared" si="1"/>
        <v>3066.3360000000002</v>
      </c>
      <c r="U8" s="362">
        <f t="shared" si="1"/>
        <v>3066.3360000000002</v>
      </c>
      <c r="V8" s="356"/>
    </row>
    <row r="9" spans="1:23">
      <c r="A9" s="265" t="s">
        <v>69</v>
      </c>
      <c r="B9" s="362">
        <f>+'Q11-Garagens'!B12*B21</f>
        <v>61160.383334400001</v>
      </c>
      <c r="C9" s="362">
        <f>B9</f>
        <v>61160.383334400001</v>
      </c>
      <c r="D9" s="362">
        <f t="shared" ref="D9:U9" si="2">C9</f>
        <v>61160.383334400001</v>
      </c>
      <c r="E9" s="362">
        <f t="shared" si="2"/>
        <v>61160.383334400001</v>
      </c>
      <c r="F9" s="362">
        <f t="shared" si="2"/>
        <v>61160.383334400001</v>
      </c>
      <c r="G9" s="362">
        <f t="shared" si="2"/>
        <v>61160.383334400001</v>
      </c>
      <c r="H9" s="362">
        <f t="shared" si="2"/>
        <v>61160.383334400001</v>
      </c>
      <c r="I9" s="362">
        <f t="shared" si="2"/>
        <v>61160.383334400001</v>
      </c>
      <c r="J9" s="362">
        <f t="shared" si="2"/>
        <v>61160.383334400001</v>
      </c>
      <c r="K9" s="362">
        <f t="shared" si="2"/>
        <v>61160.383334400001</v>
      </c>
      <c r="L9" s="362">
        <f t="shared" si="2"/>
        <v>61160.383334400001</v>
      </c>
      <c r="M9" s="362">
        <f t="shared" si="2"/>
        <v>61160.383334400001</v>
      </c>
      <c r="N9" s="362">
        <f t="shared" si="2"/>
        <v>61160.383334400001</v>
      </c>
      <c r="O9" s="362">
        <f t="shared" si="2"/>
        <v>61160.383334400001</v>
      </c>
      <c r="P9" s="362">
        <f t="shared" si="2"/>
        <v>61160.383334400001</v>
      </c>
      <c r="Q9" s="362">
        <f t="shared" si="2"/>
        <v>61160.383334400001</v>
      </c>
      <c r="R9" s="362">
        <f t="shared" si="2"/>
        <v>61160.383334400001</v>
      </c>
      <c r="S9" s="362">
        <f t="shared" si="2"/>
        <v>61160.383334400001</v>
      </c>
      <c r="T9" s="362">
        <f t="shared" si="2"/>
        <v>61160.383334400001</v>
      </c>
      <c r="U9" s="362">
        <f t="shared" si="2"/>
        <v>61160.383334400001</v>
      </c>
      <c r="V9" s="356"/>
    </row>
    <row r="10" spans="1:23">
      <c r="A10" s="265" t="s">
        <v>78</v>
      </c>
      <c r="B10" s="362">
        <f>+'Q9.a-Veic. Adm.'!C28*'Q10.a-Preço-Outros Veíc. '!$B$5*$B$19</f>
        <v>14000</v>
      </c>
      <c r="C10" s="362">
        <f>+'Q9.a-Veic. Adm.'!D28*'Q10.a-Preço-Outros Veíc. '!$B$5*$B$19</f>
        <v>14000</v>
      </c>
      <c r="D10" s="362">
        <f>+'Q9.a-Veic. Adm.'!E28*'Q10.a-Preço-Outros Veíc. '!$B$5*$B$19</f>
        <v>14000</v>
      </c>
      <c r="E10" s="362">
        <f>+'Q9.a-Veic. Adm.'!F28*'Q10.a-Preço-Outros Veíc. '!$B$5*$B$19</f>
        <v>14000</v>
      </c>
      <c r="F10" s="362">
        <f>+'Q9.a-Veic. Adm.'!G28*'Q10.a-Preço-Outros Veíc. '!$B$5*$B$19</f>
        <v>14000</v>
      </c>
      <c r="G10" s="362">
        <f>+'Q9.a-Veic. Adm.'!H28*'Q10.a-Preço-Outros Veíc. '!$B$5*$B$19</f>
        <v>14000</v>
      </c>
      <c r="H10" s="362">
        <f>+'Q9.a-Veic. Adm.'!I28*'Q10.a-Preço-Outros Veíc. '!$B$5*$B$19</f>
        <v>14000</v>
      </c>
      <c r="I10" s="362">
        <f>+'Q9.a-Veic. Adm.'!J28*'Q10.a-Preço-Outros Veíc. '!$B$5*$B$19</f>
        <v>14000</v>
      </c>
      <c r="J10" s="362">
        <f>+'Q9.a-Veic. Adm.'!K28*'Q10.a-Preço-Outros Veíc. '!$B$5*$B$19</f>
        <v>14000</v>
      </c>
      <c r="K10" s="362">
        <f>+'Q9.a-Veic. Adm.'!L28*'Q10.a-Preço-Outros Veíc. '!$B$5*$B$19</f>
        <v>14000</v>
      </c>
      <c r="L10" s="362">
        <f>+'Q9.a-Veic. Adm.'!M28*'Q10.a-Preço-Outros Veíc. '!$B$5*$B$19</f>
        <v>14000</v>
      </c>
      <c r="M10" s="362">
        <f>+'Q9.a-Veic. Adm.'!N28*'Q10.a-Preço-Outros Veíc. '!$B$5*$B$19</f>
        <v>14000</v>
      </c>
      <c r="N10" s="362">
        <f>+'Q9.a-Veic. Adm.'!O28*'Q10.a-Preço-Outros Veíc. '!$B$5*$B$19</f>
        <v>14000</v>
      </c>
      <c r="O10" s="362">
        <f>+'Q9.a-Veic. Adm.'!P28*'Q10.a-Preço-Outros Veíc. '!$B$5*$B$19</f>
        <v>14000</v>
      </c>
      <c r="P10" s="362">
        <f>+'Q9.a-Veic. Adm.'!Q28*'Q10.a-Preço-Outros Veíc. '!$B$5*$B$19</f>
        <v>14000</v>
      </c>
      <c r="Q10" s="362">
        <f>+'Q9.a-Veic. Adm.'!R28*'Q10.a-Preço-Outros Veíc. '!$B$5*$B$19</f>
        <v>14000</v>
      </c>
      <c r="R10" s="362">
        <f>+'Q9.a-Veic. Adm.'!S28*'Q10.a-Preço-Outros Veíc. '!$B$5*$B$19</f>
        <v>14000</v>
      </c>
      <c r="S10" s="362">
        <f>+'Q9.a-Veic. Adm.'!T28*'Q10.a-Preço-Outros Veíc. '!$B$5*$B$19</f>
        <v>14000</v>
      </c>
      <c r="T10" s="362">
        <f>+'Q9.a-Veic. Adm.'!U28*'Q10.a-Preço-Outros Veíc. '!$B$5*$B$19</f>
        <v>14000</v>
      </c>
      <c r="U10" s="362">
        <f>+'Q9.a-Veic. Adm.'!V28*'Q10.a-Preço-Outros Veíc. '!$B$5*$B$19</f>
        <v>14000</v>
      </c>
      <c r="V10" s="356"/>
    </row>
    <row r="11" spans="1:23">
      <c r="A11" s="265" t="s">
        <v>196</v>
      </c>
      <c r="B11" s="362">
        <f>+'Q5. Sistemas'!B11*$B$20</f>
        <v>78720</v>
      </c>
      <c r="C11" s="362">
        <f>B11</f>
        <v>78720</v>
      </c>
      <c r="D11" s="362">
        <f t="shared" ref="D11:F12" si="3">C11</f>
        <v>78720</v>
      </c>
      <c r="E11" s="362">
        <f t="shared" si="3"/>
        <v>78720</v>
      </c>
      <c r="F11" s="362">
        <f t="shared" si="3"/>
        <v>78720</v>
      </c>
      <c r="G11" s="362">
        <f>+'Q5. Sistemas'!H11*$B$20</f>
        <v>78720</v>
      </c>
      <c r="H11" s="362">
        <f>G11</f>
        <v>78720</v>
      </c>
      <c r="I11" s="362">
        <f t="shared" ref="I11:K12" si="4">H11</f>
        <v>78720</v>
      </c>
      <c r="J11" s="362">
        <f t="shared" si="4"/>
        <v>78720</v>
      </c>
      <c r="K11" s="362">
        <f t="shared" si="4"/>
        <v>78720</v>
      </c>
      <c r="L11" s="362">
        <f>+'Q5. Sistemas'!M11*$B$20</f>
        <v>78720</v>
      </c>
      <c r="M11" s="362">
        <f>L11</f>
        <v>78720</v>
      </c>
      <c r="N11" s="362">
        <f t="shared" ref="N11:P12" si="5">M11</f>
        <v>78720</v>
      </c>
      <c r="O11" s="362">
        <f t="shared" si="5"/>
        <v>78720</v>
      </c>
      <c r="P11" s="362">
        <f t="shared" si="5"/>
        <v>78720</v>
      </c>
      <c r="Q11" s="362">
        <f>+'Q5. Sistemas'!R11*$B$20</f>
        <v>78720</v>
      </c>
      <c r="R11" s="362">
        <f>Q11</f>
        <v>78720</v>
      </c>
      <c r="S11" s="362">
        <f t="shared" ref="S11:U12" si="6">R11</f>
        <v>78720</v>
      </c>
      <c r="T11" s="362">
        <f t="shared" si="6"/>
        <v>78720</v>
      </c>
      <c r="U11" s="362">
        <f t="shared" si="6"/>
        <v>78720</v>
      </c>
      <c r="V11" s="356"/>
    </row>
    <row r="12" spans="1:23">
      <c r="A12" s="363" t="s">
        <v>80</v>
      </c>
      <c r="B12" s="362">
        <f>+'Q5. Sistemas'!B12*$B$20</f>
        <v>15000</v>
      </c>
      <c r="C12" s="362">
        <f>B12</f>
        <v>15000</v>
      </c>
      <c r="D12" s="362">
        <f t="shared" si="3"/>
        <v>15000</v>
      </c>
      <c r="E12" s="362">
        <f t="shared" si="3"/>
        <v>15000</v>
      </c>
      <c r="F12" s="362">
        <f t="shared" si="3"/>
        <v>15000</v>
      </c>
      <c r="G12" s="362">
        <f>+'Q5. Sistemas'!H12*$B$20</f>
        <v>15000</v>
      </c>
      <c r="H12" s="362">
        <f>G12</f>
        <v>15000</v>
      </c>
      <c r="I12" s="362">
        <f t="shared" si="4"/>
        <v>15000</v>
      </c>
      <c r="J12" s="362">
        <f t="shared" si="4"/>
        <v>15000</v>
      </c>
      <c r="K12" s="362">
        <f t="shared" si="4"/>
        <v>15000</v>
      </c>
      <c r="L12" s="362">
        <f>+'Q5. Sistemas'!M12*$B$20</f>
        <v>15000</v>
      </c>
      <c r="M12" s="362">
        <f>L12</f>
        <v>15000</v>
      </c>
      <c r="N12" s="362">
        <f t="shared" si="5"/>
        <v>15000</v>
      </c>
      <c r="O12" s="362">
        <f t="shared" si="5"/>
        <v>15000</v>
      </c>
      <c r="P12" s="362">
        <f t="shared" si="5"/>
        <v>15000</v>
      </c>
      <c r="Q12" s="362">
        <f>+'Q5. Sistemas'!R12*$B$20</f>
        <v>15000</v>
      </c>
      <c r="R12" s="362">
        <f>Q12</f>
        <v>15000</v>
      </c>
      <c r="S12" s="362">
        <f t="shared" si="6"/>
        <v>15000</v>
      </c>
      <c r="T12" s="362">
        <f t="shared" si="6"/>
        <v>15000</v>
      </c>
      <c r="U12" s="362">
        <f t="shared" si="6"/>
        <v>15000</v>
      </c>
      <c r="V12" s="356"/>
    </row>
    <row r="13" spans="1:23">
      <c r="A13" s="364" t="s">
        <v>12</v>
      </c>
      <c r="B13" s="365">
        <f>SUM(B7:B12)</f>
        <v>1898536.723650485</v>
      </c>
      <c r="C13" s="365">
        <f t="shared" ref="C13:U13" si="7">SUM(C7:C12)</f>
        <v>1898536.723650485</v>
      </c>
      <c r="D13" s="365">
        <f t="shared" si="7"/>
        <v>1898536.723650485</v>
      </c>
      <c r="E13" s="365">
        <f t="shared" si="7"/>
        <v>1898536.723650485</v>
      </c>
      <c r="F13" s="365">
        <f t="shared" si="7"/>
        <v>2052990.6309519475</v>
      </c>
      <c r="G13" s="365">
        <f t="shared" si="7"/>
        <v>2207444.5382534098</v>
      </c>
      <c r="H13" s="365">
        <f t="shared" si="7"/>
        <v>2207444.5382534098</v>
      </c>
      <c r="I13" s="365">
        <f t="shared" si="7"/>
        <v>2207444.5382534098</v>
      </c>
      <c r="J13" s="365">
        <f t="shared" si="7"/>
        <v>2207444.5382534098</v>
      </c>
      <c r="K13" s="365">
        <f t="shared" si="7"/>
        <v>2052990.6309519475</v>
      </c>
      <c r="L13" s="365">
        <f t="shared" si="7"/>
        <v>1870939.6996504848</v>
      </c>
      <c r="M13" s="365">
        <f t="shared" si="7"/>
        <v>1870939.6996504848</v>
      </c>
      <c r="N13" s="365">
        <f t="shared" si="7"/>
        <v>1870939.6996504848</v>
      </c>
      <c r="O13" s="365">
        <f t="shared" si="7"/>
        <v>1870939.6996504848</v>
      </c>
      <c r="P13" s="365">
        <f t="shared" si="7"/>
        <v>2025393.6069519473</v>
      </c>
      <c r="Q13" s="365">
        <f t="shared" si="7"/>
        <v>2179847.5142534096</v>
      </c>
      <c r="R13" s="365">
        <f t="shared" si="7"/>
        <v>2179847.5142534096</v>
      </c>
      <c r="S13" s="365">
        <f t="shared" si="7"/>
        <v>2179847.5142534096</v>
      </c>
      <c r="T13" s="365">
        <f t="shared" si="7"/>
        <v>2179847.5142534096</v>
      </c>
      <c r="U13" s="365">
        <f t="shared" si="7"/>
        <v>2025393.6069519473</v>
      </c>
      <c r="W13" s="356"/>
    </row>
    <row r="14" spans="1:23">
      <c r="A14" s="285"/>
      <c r="B14" s="366"/>
      <c r="C14" s="366"/>
      <c r="D14" s="366"/>
      <c r="E14" s="366"/>
      <c r="F14" s="366"/>
      <c r="G14" s="366"/>
      <c r="H14" s="366"/>
      <c r="I14" s="366"/>
      <c r="J14" s="366"/>
      <c r="K14" s="366"/>
      <c r="L14" s="366"/>
      <c r="M14" s="366"/>
      <c r="N14" s="366"/>
      <c r="O14" s="366"/>
      <c r="P14" s="366"/>
      <c r="Q14" s="366"/>
      <c r="R14" s="366"/>
      <c r="S14" s="366"/>
      <c r="T14" s="366"/>
      <c r="U14" s="366"/>
    </row>
    <row r="15" spans="1:23">
      <c r="A15" s="366"/>
      <c r="B15" s="366"/>
      <c r="C15" s="366"/>
      <c r="D15" s="366"/>
      <c r="E15" s="366"/>
      <c r="F15" s="366"/>
      <c r="G15" s="366"/>
      <c r="H15" s="366"/>
      <c r="I15" s="366"/>
      <c r="J15" s="366"/>
      <c r="K15" s="366"/>
      <c r="L15" s="366"/>
      <c r="M15" s="366"/>
      <c r="N15" s="366"/>
      <c r="O15" s="366"/>
      <c r="P15" s="366"/>
      <c r="Q15" s="366"/>
      <c r="R15" s="366"/>
      <c r="S15" s="366"/>
      <c r="T15" s="366"/>
      <c r="U15" s="366"/>
    </row>
    <row r="16" spans="1:23">
      <c r="A16" s="285"/>
      <c r="B16" s="366"/>
      <c r="C16" s="366"/>
      <c r="D16" s="366"/>
      <c r="E16" s="366"/>
      <c r="F16" s="366"/>
      <c r="G16" s="366"/>
      <c r="H16" s="366"/>
      <c r="I16" s="366"/>
      <c r="J16" s="366"/>
      <c r="K16" s="366"/>
      <c r="L16" s="366"/>
      <c r="M16" s="366"/>
      <c r="N16" s="366"/>
      <c r="O16" s="366"/>
      <c r="P16" s="366"/>
      <c r="Q16" s="366"/>
      <c r="R16" s="366"/>
      <c r="S16" s="366"/>
      <c r="T16" s="366"/>
      <c r="U16" s="366"/>
    </row>
    <row r="17" spans="1:21">
      <c r="A17" s="361"/>
      <c r="B17" s="367" t="s">
        <v>71</v>
      </c>
      <c r="I17" s="355"/>
    </row>
    <row r="18" spans="1:21">
      <c r="A18" s="368" t="s">
        <v>197</v>
      </c>
      <c r="B18" s="369">
        <v>0.25</v>
      </c>
      <c r="I18" s="355"/>
    </row>
    <row r="19" spans="1:21">
      <c r="A19" s="368" t="s">
        <v>198</v>
      </c>
      <c r="B19" s="369">
        <v>0.2</v>
      </c>
      <c r="I19" s="355"/>
    </row>
    <row r="20" spans="1:21">
      <c r="A20" s="361" t="s">
        <v>199</v>
      </c>
      <c r="B20" s="369">
        <v>0.2</v>
      </c>
      <c r="I20" s="355"/>
    </row>
    <row r="21" spans="1:21">
      <c r="A21" s="368" t="s">
        <v>69</v>
      </c>
      <c r="B21" s="369">
        <v>0.04</v>
      </c>
      <c r="I21" s="355"/>
    </row>
    <row r="22" spans="1:21">
      <c r="A22" s="368" t="s">
        <v>70</v>
      </c>
      <c r="B22" s="369">
        <v>0.1</v>
      </c>
      <c r="I22" s="355"/>
    </row>
    <row r="23" spans="1:21">
      <c r="A23" s="370"/>
      <c r="B23" s="371"/>
    </row>
    <row r="26" spans="1:21">
      <c r="J26" s="356"/>
      <c r="K26" s="356"/>
      <c r="L26" s="356"/>
      <c r="M26" s="356"/>
      <c r="N26" s="356"/>
      <c r="O26" s="356"/>
      <c r="P26" s="356"/>
      <c r="Q26" s="356"/>
      <c r="R26" s="356"/>
      <c r="S26" s="356"/>
      <c r="T26" s="356"/>
      <c r="U26" s="356"/>
    </row>
    <row r="28" spans="1:21">
      <c r="J28" s="356"/>
      <c r="K28" s="356"/>
      <c r="L28" s="356"/>
      <c r="M28" s="356"/>
      <c r="N28" s="356"/>
      <c r="O28" s="356"/>
      <c r="P28" s="356"/>
      <c r="Q28" s="356"/>
      <c r="R28" s="356"/>
      <c r="S28" s="356"/>
      <c r="T28" s="356"/>
      <c r="U28" s="356"/>
    </row>
  </sheetData>
  <sheetProtection algorithmName="SHA-512" hashValue="aaXzGsHwK0xIcNsCj4gFab0pMNf4zimX70OVx3Gk1f9d5cnbsQg0Sh1u3a6ospvxssL+XgL4h15goWzIet5zjA==" saltValue="17QKllcqMSoTUpIHlArgPA==" spinCount="100000" sheet="1" objects="1" scenarios="1" selectLockedCells="1" selectUnlockedCells="1"/>
  <phoneticPr fontId="6" type="noConversion"/>
  <conditionalFormatting sqref="L6:U6">
    <cfRule type="cellIs" dxfId="2" priority="2" stopIfTrue="1" operator="lessThan">
      <formula>0</formula>
    </cfRule>
  </conditionalFormatting>
  <pageMargins left="0.78740157499999996" right="0.78740157499999996" top="0.984251969" bottom="0.984251969" header="0.49212598499999999" footer="0.49212598499999999"/>
  <pageSetup paperSize="9" orientation="portrait" horizontalDpi="4294967292" r:id="rId1"/>
  <headerFooter alignWithMargins="0"/>
  <ignoredErrors>
    <ignoredError sqref="C10:K10 L10:U10 L8:L9 L11:L12 G11:G12 Q11:Q12" formula="1"/>
  </ignoredError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7">
    <pageSetUpPr fitToPage="1"/>
  </sheetPr>
  <dimension ref="A1:DF67"/>
  <sheetViews>
    <sheetView showGridLines="0" topLeftCell="A26" zoomScaleNormal="100" workbookViewId="0">
      <selection activeCell="A60" sqref="A60"/>
    </sheetView>
  </sheetViews>
  <sheetFormatPr defaultColWidth="7.140625" defaultRowHeight="12.75"/>
  <cols>
    <col min="1" max="1" width="57.7109375" style="3" customWidth="1"/>
    <col min="2" max="2" width="17.7109375" style="3" customWidth="1"/>
    <col min="3" max="5" width="15.7109375" style="3" customWidth="1"/>
    <col min="6" max="6" width="17.5703125" style="3" customWidth="1"/>
    <col min="7" max="12" width="15.7109375" style="3" customWidth="1"/>
    <col min="13" max="22" width="15.7109375" style="3" bestFit="1" customWidth="1"/>
    <col min="23" max="23" width="13.42578125" style="3" hidden="1" customWidth="1"/>
    <col min="24" max="24" width="16" style="3" bestFit="1" customWidth="1"/>
    <col min="25" max="25" width="11.140625" style="3" bestFit="1" customWidth="1"/>
    <col min="26" max="26" width="12.7109375" style="3" bestFit="1" customWidth="1"/>
    <col min="27" max="27" width="14.85546875" style="3" bestFit="1" customWidth="1"/>
    <col min="28" max="28" width="18.42578125" style="3" bestFit="1" customWidth="1"/>
    <col min="29" max="29" width="21.42578125" style="3" bestFit="1" customWidth="1"/>
    <col min="30" max="30" width="18.28515625" style="3" bestFit="1" customWidth="1"/>
    <col min="31" max="31" width="29.85546875" style="3" bestFit="1" customWidth="1"/>
    <col min="32" max="32" width="16.85546875" style="3" bestFit="1" customWidth="1"/>
    <col min="33" max="33" width="7.140625" style="3"/>
    <col min="34" max="34" width="19.7109375" style="3" bestFit="1" customWidth="1"/>
    <col min="35" max="35" width="7.140625" style="3"/>
    <col min="36" max="36" width="24.42578125" style="3" bestFit="1" customWidth="1"/>
    <col min="37" max="37" width="7.140625" style="3"/>
    <col min="38" max="38" width="21.28515625" style="3" bestFit="1" customWidth="1"/>
    <col min="39" max="39" width="7.140625" style="3"/>
    <col min="40" max="40" width="19.28515625" style="3" bestFit="1" customWidth="1"/>
    <col min="41" max="41" width="7.140625" style="3"/>
    <col min="42" max="42" width="19.28515625" style="3" bestFit="1" customWidth="1"/>
    <col min="43" max="43" width="7.140625" style="3"/>
    <col min="44" max="44" width="25.28515625" style="3" bestFit="1" customWidth="1"/>
    <col min="45" max="45" width="7.140625" style="3"/>
    <col min="46" max="46" width="16.28515625" style="3" bestFit="1" customWidth="1"/>
    <col min="47" max="47" width="7.140625" style="3"/>
    <col min="48" max="48" width="20.42578125" style="3" bestFit="1" customWidth="1"/>
    <col min="49" max="16384" width="7.140625" style="3"/>
  </cols>
  <sheetData>
    <row r="1" spans="1:52">
      <c r="A1" s="372" t="s">
        <v>200</v>
      </c>
      <c r="B1" s="373"/>
      <c r="C1" s="374">
        <v>1</v>
      </c>
      <c r="D1" s="374">
        <v>2</v>
      </c>
      <c r="E1" s="374">
        <v>3</v>
      </c>
      <c r="F1" s="374">
        <v>4</v>
      </c>
      <c r="G1" s="374">
        <v>5</v>
      </c>
      <c r="H1" s="374">
        <v>6</v>
      </c>
      <c r="I1" s="374">
        <v>7</v>
      </c>
      <c r="J1" s="374">
        <v>8</v>
      </c>
      <c r="K1" s="375">
        <v>9</v>
      </c>
      <c r="L1" s="375">
        <v>10</v>
      </c>
      <c r="M1" s="375">
        <v>11</v>
      </c>
      <c r="N1" s="375">
        <v>12</v>
      </c>
      <c r="O1" s="375">
        <v>13</v>
      </c>
      <c r="P1" s="375">
        <v>14</v>
      </c>
      <c r="Q1" s="375"/>
      <c r="R1" s="375"/>
      <c r="S1" s="375"/>
      <c r="T1" s="375"/>
      <c r="U1" s="375"/>
      <c r="V1" s="375">
        <v>15</v>
      </c>
      <c r="W1" s="270"/>
      <c r="X1" s="270"/>
    </row>
    <row r="2" spans="1:52">
      <c r="A2" s="376"/>
      <c r="B2" s="377" t="s">
        <v>50</v>
      </c>
      <c r="C2" s="377" t="s">
        <v>1</v>
      </c>
      <c r="D2" s="377" t="s">
        <v>2</v>
      </c>
      <c r="E2" s="377" t="s">
        <v>3</v>
      </c>
      <c r="F2" s="377" t="s">
        <v>4</v>
      </c>
      <c r="G2" s="377" t="s">
        <v>5</v>
      </c>
      <c r="H2" s="377" t="s">
        <v>14</v>
      </c>
      <c r="I2" s="377" t="s">
        <v>15</v>
      </c>
      <c r="J2" s="377" t="s">
        <v>16</v>
      </c>
      <c r="K2" s="378" t="s">
        <v>17</v>
      </c>
      <c r="L2" s="378" t="s">
        <v>18</v>
      </c>
      <c r="M2" s="378" t="s">
        <v>56</v>
      </c>
      <c r="N2" s="378" t="s">
        <v>57</v>
      </c>
      <c r="O2" s="378" t="s">
        <v>58</v>
      </c>
      <c r="P2" s="378" t="s">
        <v>59</v>
      </c>
      <c r="Q2" s="378" t="s">
        <v>60</v>
      </c>
      <c r="R2" s="378" t="s">
        <v>221</v>
      </c>
      <c r="S2" s="378" t="s">
        <v>222</v>
      </c>
      <c r="T2" s="378" t="s">
        <v>223</v>
      </c>
      <c r="U2" s="378" t="s">
        <v>224</v>
      </c>
      <c r="V2" s="378" t="s">
        <v>225</v>
      </c>
      <c r="W2" s="270"/>
      <c r="X2" s="270"/>
    </row>
    <row r="3" spans="1:52">
      <c r="A3" s="379" t="s">
        <v>254</v>
      </c>
      <c r="B3" s="380"/>
      <c r="C3" s="289">
        <v>6.6093055920340227</v>
      </c>
      <c r="D3" s="289">
        <f>C3</f>
        <v>6.6093055920340227</v>
      </c>
      <c r="E3" s="289">
        <f t="shared" ref="E3:V3" si="0">D3</f>
        <v>6.6093055920340227</v>
      </c>
      <c r="F3" s="289">
        <f t="shared" si="0"/>
        <v>6.6093055920340227</v>
      </c>
      <c r="G3" s="289">
        <f t="shared" si="0"/>
        <v>6.6093055920340227</v>
      </c>
      <c r="H3" s="289">
        <f t="shared" si="0"/>
        <v>6.6093055920340227</v>
      </c>
      <c r="I3" s="289">
        <f t="shared" si="0"/>
        <v>6.6093055920340227</v>
      </c>
      <c r="J3" s="289">
        <f t="shared" si="0"/>
        <v>6.6093055920340227</v>
      </c>
      <c r="K3" s="289">
        <f t="shared" si="0"/>
        <v>6.6093055920340227</v>
      </c>
      <c r="L3" s="289">
        <f t="shared" si="0"/>
        <v>6.6093055920340227</v>
      </c>
      <c r="M3" s="289">
        <f t="shared" si="0"/>
        <v>6.6093055920340227</v>
      </c>
      <c r="N3" s="289">
        <f t="shared" si="0"/>
        <v>6.6093055920340227</v>
      </c>
      <c r="O3" s="289">
        <f t="shared" si="0"/>
        <v>6.6093055920340227</v>
      </c>
      <c r="P3" s="289">
        <f t="shared" si="0"/>
        <v>6.6093055920340227</v>
      </c>
      <c r="Q3" s="289">
        <f t="shared" si="0"/>
        <v>6.6093055920340227</v>
      </c>
      <c r="R3" s="289">
        <f t="shared" si="0"/>
        <v>6.6093055920340227</v>
      </c>
      <c r="S3" s="289">
        <f t="shared" si="0"/>
        <v>6.6093055920340227</v>
      </c>
      <c r="T3" s="289">
        <f t="shared" si="0"/>
        <v>6.6093055920340227</v>
      </c>
      <c r="U3" s="289">
        <f t="shared" si="0"/>
        <v>6.6093055920340227</v>
      </c>
      <c r="V3" s="289">
        <f t="shared" si="0"/>
        <v>6.6093055920340227</v>
      </c>
      <c r="W3" s="270"/>
      <c r="X3" s="270"/>
    </row>
    <row r="4" spans="1:52">
      <c r="A4" s="379" t="s">
        <v>244</v>
      </c>
      <c r="B4" s="380"/>
      <c r="C4" s="380">
        <f>'Q2.Dados Operacionais'!D5</f>
        <v>3894381.2448000005</v>
      </c>
      <c r="D4" s="380">
        <f>C4</f>
        <v>3894381.2448000005</v>
      </c>
      <c r="E4" s="380">
        <f t="shared" ref="E4:V4" si="1">D4</f>
        <v>3894381.2448000005</v>
      </c>
      <c r="F4" s="380">
        <f t="shared" si="1"/>
        <v>3894381.2448000005</v>
      </c>
      <c r="G4" s="380">
        <f t="shared" si="1"/>
        <v>3894381.2448000005</v>
      </c>
      <c r="H4" s="380">
        <f t="shared" si="1"/>
        <v>3894381.2448000005</v>
      </c>
      <c r="I4" s="380">
        <f t="shared" si="1"/>
        <v>3894381.2448000005</v>
      </c>
      <c r="J4" s="380">
        <f t="shared" si="1"/>
        <v>3894381.2448000005</v>
      </c>
      <c r="K4" s="380">
        <f t="shared" si="1"/>
        <v>3894381.2448000005</v>
      </c>
      <c r="L4" s="380">
        <f t="shared" si="1"/>
        <v>3894381.2448000005</v>
      </c>
      <c r="M4" s="380">
        <f t="shared" si="1"/>
        <v>3894381.2448000005</v>
      </c>
      <c r="N4" s="380">
        <f t="shared" si="1"/>
        <v>3894381.2448000005</v>
      </c>
      <c r="O4" s="380">
        <f t="shared" si="1"/>
        <v>3894381.2448000005</v>
      </c>
      <c r="P4" s="380">
        <f t="shared" si="1"/>
        <v>3894381.2448000005</v>
      </c>
      <c r="Q4" s="380">
        <f t="shared" si="1"/>
        <v>3894381.2448000005</v>
      </c>
      <c r="R4" s="380">
        <f t="shared" si="1"/>
        <v>3894381.2448000005</v>
      </c>
      <c r="S4" s="380">
        <f t="shared" si="1"/>
        <v>3894381.2448000005</v>
      </c>
      <c r="T4" s="380">
        <f t="shared" si="1"/>
        <v>3894381.2448000005</v>
      </c>
      <c r="U4" s="380">
        <f t="shared" si="1"/>
        <v>3894381.2448000005</v>
      </c>
      <c r="V4" s="380">
        <f t="shared" si="1"/>
        <v>3894381.2448000005</v>
      </c>
      <c r="W4" s="270"/>
      <c r="X4" s="270"/>
    </row>
    <row r="5" spans="1:52">
      <c r="A5" s="381" t="s">
        <v>261</v>
      </c>
      <c r="B5" s="382"/>
      <c r="C5" s="382">
        <f>C3*C4</f>
        <v>25739155.738769062</v>
      </c>
      <c r="D5" s="382">
        <f t="shared" ref="D5:V5" si="2">D3*D4</f>
        <v>25739155.738769062</v>
      </c>
      <c r="E5" s="382">
        <f t="shared" si="2"/>
        <v>25739155.738769062</v>
      </c>
      <c r="F5" s="382">
        <f t="shared" si="2"/>
        <v>25739155.738769062</v>
      </c>
      <c r="G5" s="382">
        <f t="shared" si="2"/>
        <v>25739155.738769062</v>
      </c>
      <c r="H5" s="382">
        <f t="shared" si="2"/>
        <v>25739155.738769062</v>
      </c>
      <c r="I5" s="382">
        <f t="shared" si="2"/>
        <v>25739155.738769062</v>
      </c>
      <c r="J5" s="382">
        <f t="shared" si="2"/>
        <v>25739155.738769062</v>
      </c>
      <c r="K5" s="382">
        <f t="shared" si="2"/>
        <v>25739155.738769062</v>
      </c>
      <c r="L5" s="382">
        <f t="shared" si="2"/>
        <v>25739155.738769062</v>
      </c>
      <c r="M5" s="382">
        <f t="shared" si="2"/>
        <v>25739155.738769062</v>
      </c>
      <c r="N5" s="382">
        <f t="shared" si="2"/>
        <v>25739155.738769062</v>
      </c>
      <c r="O5" s="382">
        <f t="shared" si="2"/>
        <v>25739155.738769062</v>
      </c>
      <c r="P5" s="382">
        <f t="shared" si="2"/>
        <v>25739155.738769062</v>
      </c>
      <c r="Q5" s="382">
        <f t="shared" si="2"/>
        <v>25739155.738769062</v>
      </c>
      <c r="R5" s="382">
        <f t="shared" si="2"/>
        <v>25739155.738769062</v>
      </c>
      <c r="S5" s="382">
        <f t="shared" si="2"/>
        <v>25739155.738769062</v>
      </c>
      <c r="T5" s="382">
        <f t="shared" si="2"/>
        <v>25739155.738769062</v>
      </c>
      <c r="U5" s="382">
        <f t="shared" si="2"/>
        <v>25739155.738769062</v>
      </c>
      <c r="V5" s="382">
        <f t="shared" si="2"/>
        <v>25739155.738769062</v>
      </c>
      <c r="W5" s="270"/>
      <c r="X5" s="270"/>
    </row>
    <row r="6" spans="1:52">
      <c r="A6" s="399"/>
      <c r="B6" s="400"/>
      <c r="C6" s="400"/>
      <c r="D6" s="383"/>
      <c r="E6" s="383"/>
      <c r="F6" s="383"/>
      <c r="G6" s="383"/>
      <c r="H6" s="383"/>
      <c r="I6" s="383"/>
      <c r="J6" s="383"/>
      <c r="K6" s="295"/>
      <c r="L6" s="295"/>
      <c r="M6" s="295"/>
      <c r="N6" s="295"/>
      <c r="O6" s="295"/>
      <c r="P6" s="295"/>
      <c r="Q6" s="295"/>
      <c r="R6" s="295"/>
      <c r="S6" s="295"/>
      <c r="T6" s="295"/>
      <c r="U6" s="295"/>
      <c r="V6" s="295"/>
      <c r="W6" s="270"/>
      <c r="X6" s="270"/>
    </row>
    <row r="7" spans="1:52">
      <c r="A7" s="83" t="s">
        <v>102</v>
      </c>
      <c r="B7" s="382"/>
      <c r="C7" s="382">
        <f>SUM(C8:C9)</f>
        <v>25790634.0502466</v>
      </c>
      <c r="D7" s="382">
        <f t="shared" ref="D7:V7" si="3">SUM(D8:D9)</f>
        <v>25790634.0502466</v>
      </c>
      <c r="E7" s="382">
        <f t="shared" si="3"/>
        <v>25790634.0502466</v>
      </c>
      <c r="F7" s="382">
        <f t="shared" si="3"/>
        <v>25790634.0502466</v>
      </c>
      <c r="G7" s="382">
        <f t="shared" si="3"/>
        <v>25790634.0502466</v>
      </c>
      <c r="H7" s="382">
        <f t="shared" si="3"/>
        <v>25790634.0502466</v>
      </c>
      <c r="I7" s="382">
        <f t="shared" si="3"/>
        <v>25790634.0502466</v>
      </c>
      <c r="J7" s="382">
        <f t="shared" si="3"/>
        <v>25790634.0502466</v>
      </c>
      <c r="K7" s="382">
        <f t="shared" si="3"/>
        <v>25790634.0502466</v>
      </c>
      <c r="L7" s="382">
        <f t="shared" si="3"/>
        <v>25790634.0502466</v>
      </c>
      <c r="M7" s="382">
        <f t="shared" si="3"/>
        <v>25790634.0502466</v>
      </c>
      <c r="N7" s="382">
        <f t="shared" si="3"/>
        <v>25790634.0502466</v>
      </c>
      <c r="O7" s="382">
        <f t="shared" si="3"/>
        <v>25790634.0502466</v>
      </c>
      <c r="P7" s="382">
        <f t="shared" si="3"/>
        <v>25790634.0502466</v>
      </c>
      <c r="Q7" s="382">
        <f t="shared" si="3"/>
        <v>25790634.0502466</v>
      </c>
      <c r="R7" s="382">
        <f t="shared" si="3"/>
        <v>25790634.0502466</v>
      </c>
      <c r="S7" s="382">
        <f t="shared" si="3"/>
        <v>25790634.0502466</v>
      </c>
      <c r="T7" s="382">
        <f t="shared" si="3"/>
        <v>25790634.0502466</v>
      </c>
      <c r="U7" s="382">
        <f t="shared" si="3"/>
        <v>25790634.0502466</v>
      </c>
      <c r="V7" s="382">
        <f t="shared" si="3"/>
        <v>25790634.0502466</v>
      </c>
      <c r="W7" s="341">
        <v>707605211.12400031</v>
      </c>
      <c r="X7" s="270"/>
    </row>
    <row r="8" spans="1:52">
      <c r="A8" s="384" t="s">
        <v>10</v>
      </c>
      <c r="B8" s="380"/>
      <c r="C8" s="380">
        <f>C5</f>
        <v>25739155.738769062</v>
      </c>
      <c r="D8" s="380">
        <f t="shared" ref="D8:V8" si="4">D5</f>
        <v>25739155.738769062</v>
      </c>
      <c r="E8" s="380">
        <f t="shared" si="4"/>
        <v>25739155.738769062</v>
      </c>
      <c r="F8" s="380">
        <f t="shared" si="4"/>
        <v>25739155.738769062</v>
      </c>
      <c r="G8" s="380">
        <f t="shared" si="4"/>
        <v>25739155.738769062</v>
      </c>
      <c r="H8" s="380">
        <f t="shared" si="4"/>
        <v>25739155.738769062</v>
      </c>
      <c r="I8" s="380">
        <f t="shared" si="4"/>
        <v>25739155.738769062</v>
      </c>
      <c r="J8" s="380">
        <f t="shared" si="4"/>
        <v>25739155.738769062</v>
      </c>
      <c r="K8" s="380">
        <f t="shared" si="4"/>
        <v>25739155.738769062</v>
      </c>
      <c r="L8" s="380">
        <f t="shared" si="4"/>
        <v>25739155.738769062</v>
      </c>
      <c r="M8" s="380">
        <f t="shared" si="4"/>
        <v>25739155.738769062</v>
      </c>
      <c r="N8" s="380">
        <f t="shared" si="4"/>
        <v>25739155.738769062</v>
      </c>
      <c r="O8" s="380">
        <f t="shared" si="4"/>
        <v>25739155.738769062</v>
      </c>
      <c r="P8" s="380">
        <f t="shared" si="4"/>
        <v>25739155.738769062</v>
      </c>
      <c r="Q8" s="380">
        <f t="shared" si="4"/>
        <v>25739155.738769062</v>
      </c>
      <c r="R8" s="380">
        <f t="shared" si="4"/>
        <v>25739155.738769062</v>
      </c>
      <c r="S8" s="380">
        <f t="shared" si="4"/>
        <v>25739155.738769062</v>
      </c>
      <c r="T8" s="380">
        <f t="shared" si="4"/>
        <v>25739155.738769062</v>
      </c>
      <c r="U8" s="380">
        <f t="shared" si="4"/>
        <v>25739155.738769062</v>
      </c>
      <c r="V8" s="380">
        <f t="shared" si="4"/>
        <v>25739155.738769062</v>
      </c>
      <c r="W8" s="290">
        <v>705840609.60000026</v>
      </c>
      <c r="X8" s="341"/>
      <c r="Y8" s="59"/>
      <c r="Z8" s="59"/>
      <c r="AA8" s="59"/>
      <c r="AB8" s="59"/>
      <c r="AC8" s="59"/>
      <c r="AD8" s="59"/>
      <c r="AE8" s="59"/>
      <c r="AF8" s="59"/>
      <c r="AG8" s="59"/>
      <c r="AH8" s="59"/>
      <c r="AI8" s="59"/>
      <c r="AJ8" s="59"/>
      <c r="AK8" s="59"/>
      <c r="AL8" s="59"/>
      <c r="AM8" s="59"/>
      <c r="AN8" s="59"/>
      <c r="AO8" s="59"/>
      <c r="AP8" s="59"/>
      <c r="AQ8" s="59"/>
      <c r="AR8" s="59"/>
      <c r="AS8" s="59"/>
      <c r="AT8" s="59"/>
      <c r="AU8" s="59"/>
      <c r="AV8" s="59"/>
      <c r="AW8" s="59"/>
      <c r="AX8" s="59"/>
      <c r="AY8" s="59"/>
      <c r="AZ8" s="59"/>
    </row>
    <row r="9" spans="1:52">
      <c r="A9" s="384" t="s">
        <v>216</v>
      </c>
      <c r="B9" s="380"/>
      <c r="C9" s="277">
        <f>C8*0.002</f>
        <v>51478.311477538125</v>
      </c>
      <c r="D9" s="277">
        <f t="shared" ref="D9:V9" si="5">D8*0.002</f>
        <v>51478.311477538125</v>
      </c>
      <c r="E9" s="277">
        <f t="shared" si="5"/>
        <v>51478.311477538125</v>
      </c>
      <c r="F9" s="277">
        <f t="shared" si="5"/>
        <v>51478.311477538125</v>
      </c>
      <c r="G9" s="277">
        <f t="shared" si="5"/>
        <v>51478.311477538125</v>
      </c>
      <c r="H9" s="277">
        <f t="shared" si="5"/>
        <v>51478.311477538125</v>
      </c>
      <c r="I9" s="277">
        <f t="shared" si="5"/>
        <v>51478.311477538125</v>
      </c>
      <c r="J9" s="277">
        <f t="shared" si="5"/>
        <v>51478.311477538125</v>
      </c>
      <c r="K9" s="277">
        <f t="shared" si="5"/>
        <v>51478.311477538125</v>
      </c>
      <c r="L9" s="277">
        <f t="shared" si="5"/>
        <v>51478.311477538125</v>
      </c>
      <c r="M9" s="277">
        <f t="shared" si="5"/>
        <v>51478.311477538125</v>
      </c>
      <c r="N9" s="277">
        <f t="shared" si="5"/>
        <v>51478.311477538125</v>
      </c>
      <c r="O9" s="277">
        <f t="shared" si="5"/>
        <v>51478.311477538125</v>
      </c>
      <c r="P9" s="277">
        <f t="shared" si="5"/>
        <v>51478.311477538125</v>
      </c>
      <c r="Q9" s="277">
        <f t="shared" si="5"/>
        <v>51478.311477538125</v>
      </c>
      <c r="R9" s="277">
        <f t="shared" si="5"/>
        <v>51478.311477538125</v>
      </c>
      <c r="S9" s="277">
        <f t="shared" si="5"/>
        <v>51478.311477538125</v>
      </c>
      <c r="T9" s="277">
        <f t="shared" si="5"/>
        <v>51478.311477538125</v>
      </c>
      <c r="U9" s="277">
        <f t="shared" si="5"/>
        <v>51478.311477538125</v>
      </c>
      <c r="V9" s="277">
        <f t="shared" si="5"/>
        <v>51478.311477538125</v>
      </c>
      <c r="W9" s="341"/>
      <c r="X9" s="341"/>
      <c r="Y9" s="59"/>
      <c r="Z9" s="59"/>
      <c r="AA9" s="59"/>
      <c r="AB9" s="59"/>
      <c r="AC9" s="59"/>
      <c r="AD9" s="59"/>
      <c r="AE9" s="59"/>
      <c r="AF9" s="59"/>
      <c r="AG9" s="59"/>
      <c r="AH9" s="59"/>
      <c r="AI9" s="59"/>
      <c r="AJ9" s="59"/>
      <c r="AK9" s="59"/>
      <c r="AL9" s="59"/>
      <c r="AM9" s="59"/>
      <c r="AN9" s="59"/>
      <c r="AO9" s="59"/>
      <c r="AP9" s="59"/>
      <c r="AQ9" s="59"/>
      <c r="AR9" s="59"/>
      <c r="AS9" s="59"/>
      <c r="AT9" s="59"/>
      <c r="AU9" s="59"/>
      <c r="AV9" s="59"/>
      <c r="AW9" s="59"/>
      <c r="AX9" s="59"/>
      <c r="AY9" s="59"/>
      <c r="AZ9" s="59"/>
    </row>
    <row r="10" spans="1:52">
      <c r="A10" s="385"/>
      <c r="B10" s="84"/>
      <c r="C10" s="386"/>
      <c r="D10" s="387"/>
      <c r="E10" s="388"/>
      <c r="F10" s="389"/>
      <c r="G10" s="389"/>
      <c r="H10" s="389"/>
      <c r="I10" s="389"/>
      <c r="J10" s="389"/>
      <c r="K10" s="341"/>
      <c r="L10" s="341"/>
      <c r="M10" s="341"/>
      <c r="N10" s="341"/>
      <c r="O10" s="341"/>
      <c r="P10" s="341"/>
      <c r="Q10" s="341"/>
      <c r="R10" s="341"/>
      <c r="S10" s="341"/>
      <c r="T10" s="341"/>
      <c r="U10" s="341"/>
      <c r="V10" s="341"/>
      <c r="W10" s="341"/>
      <c r="X10" s="341"/>
      <c r="Y10" s="59"/>
      <c r="Z10" s="59"/>
      <c r="AA10" s="59"/>
      <c r="AB10" s="59"/>
      <c r="AC10" s="59"/>
      <c r="AD10" s="59"/>
      <c r="AE10" s="59"/>
      <c r="AF10" s="59"/>
      <c r="AG10" s="59"/>
      <c r="AH10" s="59"/>
      <c r="AI10" s="59"/>
      <c r="AJ10" s="59"/>
      <c r="AK10" s="59"/>
      <c r="AL10" s="59"/>
      <c r="AM10" s="59"/>
      <c r="AN10" s="59"/>
      <c r="AO10" s="59"/>
      <c r="AP10" s="59"/>
      <c r="AQ10" s="59"/>
      <c r="AR10" s="59"/>
      <c r="AS10" s="59"/>
      <c r="AT10" s="59"/>
      <c r="AU10" s="59"/>
      <c r="AV10" s="59"/>
      <c r="AW10" s="59"/>
      <c r="AX10" s="59"/>
      <c r="AY10" s="59"/>
      <c r="AZ10" s="59"/>
    </row>
    <row r="11" spans="1:52">
      <c r="A11" s="83" t="s">
        <v>103</v>
      </c>
      <c r="B11" s="382"/>
      <c r="C11" s="382">
        <f>SUM(C12:C14)</f>
        <v>1032474.7541492434</v>
      </c>
      <c r="D11" s="382">
        <f t="shared" ref="D11:V11" si="6">SUM(D12:D14)</f>
        <v>1032474.7541492434</v>
      </c>
      <c r="E11" s="382">
        <f t="shared" si="6"/>
        <v>1032474.7541492434</v>
      </c>
      <c r="F11" s="382">
        <f t="shared" si="6"/>
        <v>1032474.7541492434</v>
      </c>
      <c r="G11" s="382">
        <f t="shared" si="6"/>
        <v>1032474.7541492434</v>
      </c>
      <c r="H11" s="382">
        <f t="shared" si="6"/>
        <v>1032474.7541492434</v>
      </c>
      <c r="I11" s="382">
        <f t="shared" si="6"/>
        <v>1032474.7541492434</v>
      </c>
      <c r="J11" s="382">
        <f t="shared" si="6"/>
        <v>1032474.7541492434</v>
      </c>
      <c r="K11" s="382">
        <f t="shared" si="6"/>
        <v>1032474.7541492434</v>
      </c>
      <c r="L11" s="382">
        <f t="shared" si="6"/>
        <v>1032474.7541492434</v>
      </c>
      <c r="M11" s="382">
        <f t="shared" si="6"/>
        <v>1032474.7541492434</v>
      </c>
      <c r="N11" s="382">
        <f t="shared" si="6"/>
        <v>1032474.7541492434</v>
      </c>
      <c r="O11" s="382">
        <f t="shared" si="6"/>
        <v>1032474.7541492434</v>
      </c>
      <c r="P11" s="382">
        <f t="shared" si="6"/>
        <v>1032474.7541492434</v>
      </c>
      <c r="Q11" s="382">
        <f t="shared" si="6"/>
        <v>1032474.7541492434</v>
      </c>
      <c r="R11" s="382">
        <f t="shared" si="6"/>
        <v>1032474.7541492434</v>
      </c>
      <c r="S11" s="382">
        <f t="shared" si="6"/>
        <v>1032474.7541492434</v>
      </c>
      <c r="T11" s="382">
        <f t="shared" si="6"/>
        <v>1032474.7541492434</v>
      </c>
      <c r="U11" s="382">
        <f t="shared" si="6"/>
        <v>1032474.7541492434</v>
      </c>
      <c r="V11" s="382">
        <f t="shared" si="6"/>
        <v>1032474.7541492434</v>
      </c>
      <c r="W11" s="294"/>
      <c r="X11" s="341"/>
      <c r="Y11" s="59"/>
      <c r="Z11" s="59"/>
      <c r="AA11" s="59"/>
      <c r="AB11" s="59"/>
      <c r="AC11" s="59"/>
      <c r="AD11" s="59"/>
      <c r="AE11" s="59"/>
      <c r="AF11" s="59"/>
      <c r="AG11" s="59"/>
      <c r="AH11" s="59"/>
      <c r="AI11" s="59"/>
      <c r="AJ11" s="59"/>
      <c r="AK11" s="59"/>
      <c r="AL11" s="59"/>
      <c r="AM11" s="59"/>
      <c r="AN11" s="59"/>
      <c r="AO11" s="59"/>
      <c r="AP11" s="59"/>
      <c r="AQ11" s="59"/>
      <c r="AR11" s="59"/>
      <c r="AS11" s="59"/>
      <c r="AT11" s="59"/>
      <c r="AU11" s="59"/>
      <c r="AV11" s="59"/>
      <c r="AW11" s="59"/>
      <c r="AX11" s="59"/>
      <c r="AY11" s="59"/>
      <c r="AZ11" s="59"/>
    </row>
    <row r="12" spans="1:52">
      <c r="A12" s="384" t="s">
        <v>262</v>
      </c>
      <c r="B12" s="380"/>
      <c r="C12" s="277">
        <f>'Q13-Tributos'!E18</f>
        <v>1878.9583689301414</v>
      </c>
      <c r="D12" s="277">
        <f>'Q13-Tributos'!F18</f>
        <v>1878.9583689301414</v>
      </c>
      <c r="E12" s="277">
        <f>'Q13-Tributos'!G18</f>
        <v>1878.9583689301414</v>
      </c>
      <c r="F12" s="277">
        <f>'Q13-Tributos'!H18</f>
        <v>1878.9583689301414</v>
      </c>
      <c r="G12" s="277">
        <f>'Q13-Tributos'!I18</f>
        <v>1878.9583689301414</v>
      </c>
      <c r="H12" s="277">
        <f>'Q13-Tributos'!J18</f>
        <v>1878.9583689301414</v>
      </c>
      <c r="I12" s="277">
        <f>'Q13-Tributos'!K18</f>
        <v>1878.9583689301414</v>
      </c>
      <c r="J12" s="277">
        <f>'Q13-Tributos'!L18</f>
        <v>1878.9583689301414</v>
      </c>
      <c r="K12" s="277">
        <f>'Q13-Tributos'!M18</f>
        <v>1878.9583689301414</v>
      </c>
      <c r="L12" s="277">
        <f>'Q13-Tributos'!N18</f>
        <v>1878.9583689301414</v>
      </c>
      <c r="M12" s="277">
        <f>'Q13-Tributos'!O18</f>
        <v>1878.9583689301414</v>
      </c>
      <c r="N12" s="277">
        <f>'Q13-Tributos'!P18</f>
        <v>1878.9583689301414</v>
      </c>
      <c r="O12" s="277">
        <f>'Q13-Tributos'!Q18</f>
        <v>1878.9583689301414</v>
      </c>
      <c r="P12" s="277">
        <f>'Q13-Tributos'!R18</f>
        <v>1878.9583689301414</v>
      </c>
      <c r="Q12" s="277">
        <f>'Q13-Tributos'!S18</f>
        <v>1878.9583689301414</v>
      </c>
      <c r="R12" s="277">
        <f>'Q13-Tributos'!T18</f>
        <v>1878.9583689301414</v>
      </c>
      <c r="S12" s="277">
        <f>'Q13-Tributos'!U18</f>
        <v>1878.9583689301414</v>
      </c>
      <c r="T12" s="277">
        <f>'Q13-Tributos'!V18</f>
        <v>1878.9583689301414</v>
      </c>
      <c r="U12" s="277">
        <f>'Q13-Tributos'!W18</f>
        <v>1878.9583689301414</v>
      </c>
      <c r="V12" s="277">
        <f>'Q13-Tributos'!X18</f>
        <v>1878.9583689301414</v>
      </c>
      <c r="W12" s="294"/>
      <c r="X12" s="341"/>
      <c r="Y12" s="59"/>
      <c r="Z12" s="59"/>
      <c r="AA12" s="59"/>
      <c r="AB12" s="59"/>
      <c r="AC12" s="59"/>
      <c r="AD12" s="59"/>
      <c r="AE12" s="59"/>
      <c r="AF12" s="59"/>
      <c r="AG12" s="59"/>
      <c r="AH12" s="59"/>
      <c r="AI12" s="59"/>
      <c r="AJ12" s="59"/>
      <c r="AK12" s="59"/>
      <c r="AL12" s="59"/>
      <c r="AM12" s="59"/>
      <c r="AN12" s="59"/>
      <c r="AO12" s="59"/>
      <c r="AP12" s="59"/>
      <c r="AQ12" s="59"/>
      <c r="AR12" s="59"/>
      <c r="AS12" s="59"/>
      <c r="AT12" s="59"/>
      <c r="AU12" s="59"/>
      <c r="AV12" s="59"/>
      <c r="AW12" s="59"/>
      <c r="AX12" s="59"/>
      <c r="AY12" s="59"/>
      <c r="AZ12" s="59"/>
    </row>
    <row r="13" spans="1:52">
      <c r="A13" s="384" t="s">
        <v>52</v>
      </c>
      <c r="B13" s="380"/>
      <c r="C13" s="277">
        <f>'Q13-Tributos'!E11</f>
        <v>514783.11477538123</v>
      </c>
      <c r="D13" s="277">
        <f>'Q13-Tributos'!F11</f>
        <v>514783.11477538123</v>
      </c>
      <c r="E13" s="277">
        <f>'Q13-Tributos'!G11</f>
        <v>514783.11477538123</v>
      </c>
      <c r="F13" s="277">
        <f>'Q13-Tributos'!H11</f>
        <v>514783.11477538123</v>
      </c>
      <c r="G13" s="277">
        <f>'Q13-Tributos'!I11</f>
        <v>514783.11477538123</v>
      </c>
      <c r="H13" s="277">
        <f>'Q13-Tributos'!J11</f>
        <v>514783.11477538123</v>
      </c>
      <c r="I13" s="277">
        <f>'Q13-Tributos'!K11</f>
        <v>514783.11477538123</v>
      </c>
      <c r="J13" s="277">
        <f>'Q13-Tributos'!L11</f>
        <v>514783.11477538123</v>
      </c>
      <c r="K13" s="277">
        <f>'Q13-Tributos'!M11</f>
        <v>514783.11477538123</v>
      </c>
      <c r="L13" s="277">
        <f>'Q13-Tributos'!N11</f>
        <v>514783.11477538123</v>
      </c>
      <c r="M13" s="277">
        <f>'Q13-Tributos'!O11</f>
        <v>514783.11477538123</v>
      </c>
      <c r="N13" s="277">
        <f>'Q13-Tributos'!P11</f>
        <v>514783.11477538123</v>
      </c>
      <c r="O13" s="277">
        <f>'Q13-Tributos'!Q11</f>
        <v>514783.11477538123</v>
      </c>
      <c r="P13" s="277">
        <f>'Q13-Tributos'!R11</f>
        <v>514783.11477538123</v>
      </c>
      <c r="Q13" s="277">
        <f>'Q13-Tributos'!S11</f>
        <v>514783.11477538123</v>
      </c>
      <c r="R13" s="277">
        <f>'Q13-Tributos'!T11</f>
        <v>514783.11477538123</v>
      </c>
      <c r="S13" s="277">
        <f>'Q13-Tributos'!U11</f>
        <v>514783.11477538123</v>
      </c>
      <c r="T13" s="277">
        <f>'Q13-Tributos'!V11</f>
        <v>514783.11477538123</v>
      </c>
      <c r="U13" s="277">
        <f>'Q13-Tributos'!W11</f>
        <v>514783.11477538123</v>
      </c>
      <c r="V13" s="277">
        <f>'Q13-Tributos'!X11</f>
        <v>514783.11477538123</v>
      </c>
      <c r="W13" s="295"/>
      <c r="X13" s="295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/>
    </row>
    <row r="14" spans="1:52">
      <c r="A14" s="384" t="s">
        <v>11</v>
      </c>
      <c r="B14" s="380"/>
      <c r="C14" s="277">
        <f>'Q13-Tributos'!E12+'Q13-Tributos'!E17</f>
        <v>515812.68100493198</v>
      </c>
      <c r="D14" s="277">
        <f>'Q13-Tributos'!F12+'Q13-Tributos'!F17</f>
        <v>515812.68100493198</v>
      </c>
      <c r="E14" s="277">
        <f>'Q13-Tributos'!G12+'Q13-Tributos'!G17</f>
        <v>515812.68100493198</v>
      </c>
      <c r="F14" s="277">
        <f>'Q13-Tributos'!H12+'Q13-Tributos'!H17</f>
        <v>515812.68100493198</v>
      </c>
      <c r="G14" s="277">
        <f>'Q13-Tributos'!I12+'Q13-Tributos'!I17</f>
        <v>515812.68100493198</v>
      </c>
      <c r="H14" s="277">
        <f>'Q13-Tributos'!J12+'Q13-Tributos'!J17</f>
        <v>515812.68100493198</v>
      </c>
      <c r="I14" s="277">
        <f>'Q13-Tributos'!K12+'Q13-Tributos'!K17</f>
        <v>515812.68100493198</v>
      </c>
      <c r="J14" s="277">
        <f>'Q13-Tributos'!L12+'Q13-Tributos'!L17</f>
        <v>515812.68100493198</v>
      </c>
      <c r="K14" s="277">
        <f>'Q13-Tributos'!M12+'Q13-Tributos'!M17</f>
        <v>515812.68100493198</v>
      </c>
      <c r="L14" s="277">
        <f>'Q13-Tributos'!N12+'Q13-Tributos'!N17</f>
        <v>515812.68100493198</v>
      </c>
      <c r="M14" s="277">
        <f>'Q13-Tributos'!O12+'Q13-Tributos'!O17</f>
        <v>515812.68100493198</v>
      </c>
      <c r="N14" s="277">
        <f>'Q13-Tributos'!P12+'Q13-Tributos'!P17</f>
        <v>515812.68100493198</v>
      </c>
      <c r="O14" s="277">
        <f>'Q13-Tributos'!Q12+'Q13-Tributos'!Q17</f>
        <v>515812.68100493198</v>
      </c>
      <c r="P14" s="277">
        <f>'Q13-Tributos'!R12+'Q13-Tributos'!R17</f>
        <v>515812.68100493198</v>
      </c>
      <c r="Q14" s="277">
        <f>'Q13-Tributos'!S12+'Q13-Tributos'!S17</f>
        <v>515812.68100493198</v>
      </c>
      <c r="R14" s="277">
        <f>'Q13-Tributos'!T12+'Q13-Tributos'!T17</f>
        <v>515812.68100493198</v>
      </c>
      <c r="S14" s="277">
        <f>'Q13-Tributos'!U12+'Q13-Tributos'!U17</f>
        <v>515812.68100493198</v>
      </c>
      <c r="T14" s="277">
        <f>'Q13-Tributos'!V12+'Q13-Tributos'!V17</f>
        <v>515812.68100493198</v>
      </c>
      <c r="U14" s="277">
        <f>'Q13-Tributos'!W12+'Q13-Tributos'!W17</f>
        <v>515812.68100493198</v>
      </c>
      <c r="V14" s="277">
        <f>'Q13-Tributos'!X12+'Q13-Tributos'!X17</f>
        <v>515812.68100493198</v>
      </c>
      <c r="W14" s="295"/>
      <c r="X14" s="295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8"/>
      <c r="AV14" s="28"/>
      <c r="AW14" s="28"/>
      <c r="AX14" s="28"/>
      <c r="AY14" s="28"/>
      <c r="AZ14" s="28"/>
    </row>
    <row r="15" spans="1:52">
      <c r="A15" s="390"/>
      <c r="B15" s="373"/>
      <c r="C15" s="373"/>
      <c r="D15" s="373"/>
      <c r="E15" s="373"/>
      <c r="F15" s="373"/>
      <c r="G15" s="373"/>
      <c r="H15" s="373"/>
      <c r="I15" s="373"/>
      <c r="J15" s="373"/>
      <c r="K15" s="270"/>
      <c r="L15" s="270"/>
      <c r="M15" s="270"/>
      <c r="N15" s="270"/>
      <c r="O15" s="270"/>
      <c r="P15" s="270"/>
      <c r="Q15" s="270"/>
      <c r="R15" s="270"/>
      <c r="S15" s="270"/>
      <c r="T15" s="270"/>
      <c r="U15" s="270"/>
      <c r="V15" s="270"/>
      <c r="W15" s="270"/>
      <c r="X15" s="270"/>
      <c r="AQ15" s="28"/>
      <c r="AR15" s="28"/>
      <c r="AS15" s="28"/>
      <c r="AT15" s="28"/>
      <c r="AU15" s="28"/>
      <c r="AV15" s="28"/>
      <c r="AW15" s="28"/>
      <c r="AX15" s="28"/>
      <c r="AY15" s="28"/>
      <c r="AZ15" s="28"/>
    </row>
    <row r="16" spans="1:52">
      <c r="A16" s="83" t="s">
        <v>104</v>
      </c>
      <c r="B16" s="382">
        <v>0</v>
      </c>
      <c r="C16" s="100">
        <f t="shared" ref="C16:V16" si="7">+C7-C11</f>
        <v>24758159.296097357</v>
      </c>
      <c r="D16" s="100">
        <f t="shared" si="7"/>
        <v>24758159.296097357</v>
      </c>
      <c r="E16" s="100">
        <f t="shared" si="7"/>
        <v>24758159.296097357</v>
      </c>
      <c r="F16" s="100">
        <f t="shared" si="7"/>
        <v>24758159.296097357</v>
      </c>
      <c r="G16" s="100">
        <f t="shared" si="7"/>
        <v>24758159.296097357</v>
      </c>
      <c r="H16" s="100">
        <f t="shared" si="7"/>
        <v>24758159.296097357</v>
      </c>
      <c r="I16" s="100">
        <f t="shared" si="7"/>
        <v>24758159.296097357</v>
      </c>
      <c r="J16" s="100">
        <f t="shared" si="7"/>
        <v>24758159.296097357</v>
      </c>
      <c r="K16" s="100">
        <f t="shared" si="7"/>
        <v>24758159.296097357</v>
      </c>
      <c r="L16" s="100">
        <f t="shared" si="7"/>
        <v>24758159.296097357</v>
      </c>
      <c r="M16" s="100">
        <f t="shared" si="7"/>
        <v>24758159.296097357</v>
      </c>
      <c r="N16" s="100">
        <f t="shared" si="7"/>
        <v>24758159.296097357</v>
      </c>
      <c r="O16" s="100">
        <f t="shared" si="7"/>
        <v>24758159.296097357</v>
      </c>
      <c r="P16" s="100">
        <f t="shared" si="7"/>
        <v>24758159.296097357</v>
      </c>
      <c r="Q16" s="100">
        <f t="shared" si="7"/>
        <v>24758159.296097357</v>
      </c>
      <c r="R16" s="100">
        <f t="shared" si="7"/>
        <v>24758159.296097357</v>
      </c>
      <c r="S16" s="100">
        <f t="shared" si="7"/>
        <v>24758159.296097357</v>
      </c>
      <c r="T16" s="100">
        <f t="shared" si="7"/>
        <v>24758159.296097357</v>
      </c>
      <c r="U16" s="100">
        <f t="shared" si="7"/>
        <v>24758159.296097357</v>
      </c>
      <c r="V16" s="100">
        <f t="shared" si="7"/>
        <v>24758159.296097357</v>
      </c>
      <c r="W16" s="341"/>
      <c r="X16" s="341"/>
      <c r="Y16" s="59"/>
      <c r="Z16" s="59"/>
      <c r="AA16" s="59"/>
      <c r="AB16" s="59"/>
      <c r="AC16" s="59"/>
      <c r="AD16" s="59"/>
      <c r="AE16" s="59"/>
      <c r="AF16" s="59"/>
      <c r="AG16" s="59"/>
      <c r="AH16" s="59"/>
      <c r="AI16" s="59"/>
      <c r="AJ16" s="59"/>
      <c r="AK16" s="59"/>
      <c r="AL16" s="59"/>
      <c r="AM16" s="59"/>
      <c r="AN16" s="59"/>
      <c r="AO16" s="59"/>
      <c r="AP16" s="59"/>
      <c r="AQ16" s="28"/>
      <c r="AR16" s="28"/>
      <c r="AS16" s="28"/>
      <c r="AT16" s="28"/>
      <c r="AU16" s="28"/>
      <c r="AV16" s="28"/>
      <c r="AW16" s="28"/>
      <c r="AX16" s="28"/>
      <c r="AY16" s="28"/>
      <c r="AZ16" s="28"/>
    </row>
    <row r="17" spans="1:110">
      <c r="A17" s="390"/>
      <c r="B17" s="373"/>
      <c r="C17" s="373"/>
      <c r="D17" s="373"/>
      <c r="E17" s="373"/>
      <c r="F17" s="373"/>
      <c r="G17" s="373"/>
      <c r="H17" s="373"/>
      <c r="I17" s="373"/>
      <c r="J17" s="373"/>
      <c r="K17" s="270"/>
      <c r="L17" s="270"/>
      <c r="M17" s="270"/>
      <c r="N17" s="270"/>
      <c r="O17" s="270"/>
      <c r="P17" s="270"/>
      <c r="Q17" s="270"/>
      <c r="R17" s="270"/>
      <c r="S17" s="270"/>
      <c r="T17" s="270"/>
      <c r="U17" s="270"/>
      <c r="V17" s="270"/>
      <c r="W17" s="270"/>
      <c r="X17" s="270"/>
      <c r="AQ17" s="28"/>
      <c r="AR17" s="28"/>
      <c r="AS17" s="28"/>
      <c r="AT17" s="28"/>
      <c r="AU17" s="28"/>
      <c r="AV17" s="28"/>
      <c r="AW17" s="28"/>
      <c r="AX17" s="28"/>
      <c r="AY17" s="28"/>
      <c r="AZ17" s="28"/>
    </row>
    <row r="18" spans="1:110">
      <c r="A18" s="83" t="s">
        <v>286</v>
      </c>
      <c r="B18" s="382">
        <f t="shared" ref="B18:V18" si="8">SUM(B19:B21)</f>
        <v>30000</v>
      </c>
      <c r="C18" s="382">
        <f t="shared" si="8"/>
        <v>21932657.535857227</v>
      </c>
      <c r="D18" s="382">
        <f t="shared" si="8"/>
        <v>21932657.535857227</v>
      </c>
      <c r="E18" s="382">
        <f t="shared" si="8"/>
        <v>21932657.535857227</v>
      </c>
      <c r="F18" s="382">
        <f t="shared" si="8"/>
        <v>21932657.535857227</v>
      </c>
      <c r="G18" s="382">
        <f t="shared" si="8"/>
        <v>21932657.535857227</v>
      </c>
      <c r="H18" s="382">
        <f t="shared" si="8"/>
        <v>21932657.535857227</v>
      </c>
      <c r="I18" s="382">
        <f t="shared" si="8"/>
        <v>21932657.535857227</v>
      </c>
      <c r="J18" s="382">
        <f t="shared" si="8"/>
        <v>21932657.535857227</v>
      </c>
      <c r="K18" s="382">
        <f t="shared" si="8"/>
        <v>21932657.535857227</v>
      </c>
      <c r="L18" s="382">
        <f t="shared" si="8"/>
        <v>21932657.535857227</v>
      </c>
      <c r="M18" s="382">
        <f t="shared" si="8"/>
        <v>21932657.535857227</v>
      </c>
      <c r="N18" s="382">
        <f t="shared" si="8"/>
        <v>21932657.535857227</v>
      </c>
      <c r="O18" s="382">
        <f t="shared" si="8"/>
        <v>21932657.535857227</v>
      </c>
      <c r="P18" s="382">
        <f t="shared" si="8"/>
        <v>21932657.535857227</v>
      </c>
      <c r="Q18" s="382">
        <f t="shared" si="8"/>
        <v>21932657.535857227</v>
      </c>
      <c r="R18" s="382">
        <f t="shared" si="8"/>
        <v>21932657.535857227</v>
      </c>
      <c r="S18" s="382">
        <f t="shared" si="8"/>
        <v>21932657.535857227</v>
      </c>
      <c r="T18" s="382">
        <f t="shared" si="8"/>
        <v>21932657.535857227</v>
      </c>
      <c r="U18" s="382">
        <f t="shared" si="8"/>
        <v>21932657.535857227</v>
      </c>
      <c r="V18" s="382">
        <f t="shared" si="8"/>
        <v>21932657.535857227</v>
      </c>
      <c r="W18" s="382" t="e">
        <f>#REF!+#REF!</f>
        <v>#REF!</v>
      </c>
      <c r="X18" s="341"/>
      <c r="Y18" s="59"/>
      <c r="Z18" s="59"/>
      <c r="AA18" s="59"/>
      <c r="AB18" s="59"/>
      <c r="AC18" s="59"/>
      <c r="AD18" s="59"/>
      <c r="AE18" s="59"/>
      <c r="AF18" s="59"/>
      <c r="AG18" s="59"/>
      <c r="AH18" s="59"/>
      <c r="AI18" s="59"/>
      <c r="AJ18" s="59"/>
      <c r="AK18" s="59"/>
      <c r="AL18" s="59"/>
      <c r="AM18" s="59"/>
      <c r="AN18" s="59"/>
      <c r="AO18" s="59"/>
      <c r="AP18" s="59"/>
      <c r="AQ18" s="59"/>
      <c r="AR18" s="59"/>
      <c r="AS18" s="59"/>
      <c r="AT18" s="59"/>
      <c r="AU18" s="59"/>
      <c r="AV18" s="28"/>
      <c r="AW18" s="28"/>
      <c r="AX18" s="28"/>
      <c r="AY18" s="28"/>
      <c r="AZ18" s="28"/>
    </row>
    <row r="19" spans="1:110">
      <c r="A19" s="391" t="s">
        <v>232</v>
      </c>
      <c r="B19" s="380"/>
      <c r="C19" s="380">
        <f>'Q3.C Variável'!H13+'Q4.a-Custos Fixos'!I11</f>
        <v>21222610.843910836</v>
      </c>
      <c r="D19" s="380">
        <f>C19</f>
        <v>21222610.843910836</v>
      </c>
      <c r="E19" s="380">
        <f t="shared" ref="E19:V19" si="9">D19</f>
        <v>21222610.843910836</v>
      </c>
      <c r="F19" s="380">
        <f t="shared" si="9"/>
        <v>21222610.843910836</v>
      </c>
      <c r="G19" s="380">
        <f t="shared" si="9"/>
        <v>21222610.843910836</v>
      </c>
      <c r="H19" s="380">
        <f t="shared" si="9"/>
        <v>21222610.843910836</v>
      </c>
      <c r="I19" s="380">
        <f t="shared" si="9"/>
        <v>21222610.843910836</v>
      </c>
      <c r="J19" s="380">
        <f t="shared" si="9"/>
        <v>21222610.843910836</v>
      </c>
      <c r="K19" s="380">
        <f t="shared" si="9"/>
        <v>21222610.843910836</v>
      </c>
      <c r="L19" s="380">
        <f t="shared" si="9"/>
        <v>21222610.843910836</v>
      </c>
      <c r="M19" s="380">
        <f t="shared" si="9"/>
        <v>21222610.843910836</v>
      </c>
      <c r="N19" s="380">
        <f t="shared" si="9"/>
        <v>21222610.843910836</v>
      </c>
      <c r="O19" s="380">
        <f t="shared" si="9"/>
        <v>21222610.843910836</v>
      </c>
      <c r="P19" s="380">
        <f t="shared" si="9"/>
        <v>21222610.843910836</v>
      </c>
      <c r="Q19" s="380">
        <f t="shared" si="9"/>
        <v>21222610.843910836</v>
      </c>
      <c r="R19" s="380">
        <f t="shared" si="9"/>
        <v>21222610.843910836</v>
      </c>
      <c r="S19" s="380">
        <f t="shared" si="9"/>
        <v>21222610.843910836</v>
      </c>
      <c r="T19" s="380">
        <f t="shared" si="9"/>
        <v>21222610.843910836</v>
      </c>
      <c r="U19" s="380">
        <f t="shared" si="9"/>
        <v>21222610.843910836</v>
      </c>
      <c r="V19" s="380">
        <f t="shared" si="9"/>
        <v>21222610.843910836</v>
      </c>
      <c r="W19" s="294"/>
      <c r="X19" s="295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  <c r="AR19" s="28"/>
      <c r="AS19" s="28"/>
      <c r="AT19" s="28"/>
      <c r="AU19" s="28"/>
      <c r="AV19" s="28"/>
      <c r="AW19" s="28"/>
      <c r="AX19" s="28"/>
      <c r="AY19" s="28"/>
      <c r="AZ19" s="28"/>
      <c r="BH19" s="28"/>
      <c r="BI19" s="28"/>
      <c r="BJ19" s="28"/>
      <c r="BK19" s="28"/>
      <c r="BL19" s="28"/>
      <c r="BM19" s="28"/>
      <c r="BN19" s="28"/>
      <c r="BO19" s="28"/>
      <c r="BP19" s="28"/>
      <c r="BQ19" s="28"/>
      <c r="BR19" s="28"/>
      <c r="BS19" s="28"/>
      <c r="BT19" s="28"/>
      <c r="BU19" s="28"/>
      <c r="BV19" s="28"/>
      <c r="BW19" s="28"/>
      <c r="BX19" s="28"/>
      <c r="BY19" s="28"/>
      <c r="BZ19" s="28"/>
      <c r="CA19" s="28"/>
      <c r="CB19" s="28"/>
      <c r="CC19" s="28"/>
      <c r="CD19" s="28"/>
      <c r="CE19" s="28"/>
      <c r="CF19" s="28"/>
      <c r="CG19" s="28"/>
      <c r="CH19" s="28"/>
      <c r="CI19" s="28"/>
      <c r="CJ19" s="28"/>
      <c r="CK19" s="28"/>
      <c r="CL19" s="28"/>
      <c r="CM19" s="28"/>
      <c r="CN19" s="28"/>
      <c r="CO19" s="28"/>
      <c r="CP19" s="28"/>
      <c r="CQ19" s="28"/>
      <c r="CR19" s="28"/>
      <c r="CS19" s="28"/>
      <c r="CT19" s="28"/>
      <c r="CU19" s="28"/>
      <c r="CV19" s="28"/>
      <c r="CW19" s="28"/>
      <c r="CX19" s="28"/>
      <c r="CY19" s="28"/>
      <c r="CZ19" s="28"/>
      <c r="DA19" s="28"/>
      <c r="DB19" s="28"/>
      <c r="DC19" s="28"/>
      <c r="DD19" s="28"/>
      <c r="DE19" s="28"/>
      <c r="DF19" s="28"/>
    </row>
    <row r="20" spans="1:110">
      <c r="A20" s="392" t="s">
        <v>287</v>
      </c>
      <c r="B20" s="380">
        <v>30000</v>
      </c>
      <c r="C20" s="380">
        <f>SUM('Q6. Despesas gerais'!C5:C11)</f>
        <v>710046.69194639032</v>
      </c>
      <c r="D20" s="380">
        <f>C20</f>
        <v>710046.69194639032</v>
      </c>
      <c r="E20" s="380">
        <f t="shared" ref="E20:V20" si="10">D20</f>
        <v>710046.69194639032</v>
      </c>
      <c r="F20" s="380">
        <f t="shared" si="10"/>
        <v>710046.69194639032</v>
      </c>
      <c r="G20" s="380">
        <f t="shared" si="10"/>
        <v>710046.69194639032</v>
      </c>
      <c r="H20" s="380">
        <f t="shared" si="10"/>
        <v>710046.69194639032</v>
      </c>
      <c r="I20" s="380">
        <f t="shared" si="10"/>
        <v>710046.69194639032</v>
      </c>
      <c r="J20" s="380">
        <f t="shared" si="10"/>
        <v>710046.69194639032</v>
      </c>
      <c r="K20" s="380">
        <f t="shared" si="10"/>
        <v>710046.69194639032</v>
      </c>
      <c r="L20" s="380">
        <f t="shared" si="10"/>
        <v>710046.69194639032</v>
      </c>
      <c r="M20" s="380">
        <f t="shared" si="10"/>
        <v>710046.69194639032</v>
      </c>
      <c r="N20" s="380">
        <f t="shared" si="10"/>
        <v>710046.69194639032</v>
      </c>
      <c r="O20" s="380">
        <f t="shared" si="10"/>
        <v>710046.69194639032</v>
      </c>
      <c r="P20" s="380">
        <f t="shared" si="10"/>
        <v>710046.69194639032</v>
      </c>
      <c r="Q20" s="380">
        <f t="shared" si="10"/>
        <v>710046.69194639032</v>
      </c>
      <c r="R20" s="380">
        <f t="shared" si="10"/>
        <v>710046.69194639032</v>
      </c>
      <c r="S20" s="380">
        <f t="shared" si="10"/>
        <v>710046.69194639032</v>
      </c>
      <c r="T20" s="380">
        <f t="shared" si="10"/>
        <v>710046.69194639032</v>
      </c>
      <c r="U20" s="380">
        <f t="shared" si="10"/>
        <v>710046.69194639032</v>
      </c>
      <c r="V20" s="380">
        <f t="shared" si="10"/>
        <v>710046.69194639032</v>
      </c>
      <c r="W20" s="294"/>
      <c r="X20" s="295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</row>
    <row r="21" spans="1:110">
      <c r="A21" s="392" t="s">
        <v>283</v>
      </c>
      <c r="B21" s="380"/>
      <c r="C21" s="380">
        <f>'Q12-Infra'!C14</f>
        <v>0</v>
      </c>
      <c r="D21" s="380">
        <f>'Q12-Infra'!D14</f>
        <v>0</v>
      </c>
      <c r="E21" s="380">
        <f>'Q12-Infra'!E14</f>
        <v>0</v>
      </c>
      <c r="F21" s="380">
        <f>'Q12-Infra'!F14</f>
        <v>0</v>
      </c>
      <c r="G21" s="380">
        <f>'Q12-Infra'!G14</f>
        <v>0</v>
      </c>
      <c r="H21" s="380">
        <f>'Q12-Infra'!H14</f>
        <v>0</v>
      </c>
      <c r="I21" s="380">
        <f>'Q12-Infra'!I14</f>
        <v>0</v>
      </c>
      <c r="J21" s="380">
        <f>'Q12-Infra'!J14</f>
        <v>0</v>
      </c>
      <c r="K21" s="380">
        <f>'Q12-Infra'!K14</f>
        <v>0</v>
      </c>
      <c r="L21" s="380">
        <f>'Q12-Infra'!L14</f>
        <v>0</v>
      </c>
      <c r="M21" s="380">
        <f>'Q12-Infra'!M14</f>
        <v>0</v>
      </c>
      <c r="N21" s="380">
        <f>'Q12-Infra'!N14</f>
        <v>0</v>
      </c>
      <c r="O21" s="380">
        <f>'Q12-Infra'!O14</f>
        <v>0</v>
      </c>
      <c r="P21" s="380">
        <f>'Q12-Infra'!P14</f>
        <v>0</v>
      </c>
      <c r="Q21" s="380">
        <f>'Q12-Infra'!Q14</f>
        <v>0</v>
      </c>
      <c r="R21" s="380">
        <f>'Q12-Infra'!R14</f>
        <v>0</v>
      </c>
      <c r="S21" s="380">
        <f>'Q12-Infra'!S14</f>
        <v>0</v>
      </c>
      <c r="T21" s="380">
        <f>'Q12-Infra'!T14</f>
        <v>0</v>
      </c>
      <c r="U21" s="380">
        <f>'Q12-Infra'!U14</f>
        <v>0</v>
      </c>
      <c r="V21" s="380">
        <f>'Q12-Infra'!V14</f>
        <v>0</v>
      </c>
      <c r="W21" s="295"/>
      <c r="X21" s="295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</row>
    <row r="22" spans="1:110">
      <c r="A22" s="393"/>
      <c r="B22" s="383"/>
      <c r="C22" s="383"/>
      <c r="D22" s="383"/>
      <c r="E22" s="383"/>
      <c r="F22" s="383"/>
      <c r="G22" s="383"/>
      <c r="H22" s="383"/>
      <c r="I22" s="383"/>
      <c r="J22" s="383"/>
      <c r="K22" s="295"/>
      <c r="L22" s="295"/>
      <c r="M22" s="295"/>
      <c r="N22" s="295"/>
      <c r="O22" s="295"/>
      <c r="P22" s="295"/>
      <c r="Q22" s="295"/>
      <c r="R22" s="295"/>
      <c r="S22" s="295"/>
      <c r="T22" s="295"/>
      <c r="U22" s="295"/>
      <c r="V22" s="295"/>
      <c r="W22" s="295"/>
      <c r="X22" s="295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28"/>
    </row>
    <row r="23" spans="1:110">
      <c r="A23" s="83" t="s">
        <v>105</v>
      </c>
      <c r="B23" s="382">
        <f t="shared" ref="B23:V23" si="11">B16-B18</f>
        <v>-30000</v>
      </c>
      <c r="C23" s="382">
        <f t="shared" si="11"/>
        <v>2825501.7602401301</v>
      </c>
      <c r="D23" s="382">
        <f t="shared" si="11"/>
        <v>2825501.7602401301</v>
      </c>
      <c r="E23" s="382">
        <f t="shared" si="11"/>
        <v>2825501.7602401301</v>
      </c>
      <c r="F23" s="382">
        <f t="shared" si="11"/>
        <v>2825501.7602401301</v>
      </c>
      <c r="G23" s="382">
        <f t="shared" si="11"/>
        <v>2825501.7602401301</v>
      </c>
      <c r="H23" s="382">
        <f t="shared" si="11"/>
        <v>2825501.7602401301</v>
      </c>
      <c r="I23" s="382">
        <f t="shared" si="11"/>
        <v>2825501.7602401301</v>
      </c>
      <c r="J23" s="382">
        <f t="shared" si="11"/>
        <v>2825501.7602401301</v>
      </c>
      <c r="K23" s="382">
        <f t="shared" si="11"/>
        <v>2825501.7602401301</v>
      </c>
      <c r="L23" s="382">
        <f t="shared" si="11"/>
        <v>2825501.7602401301</v>
      </c>
      <c r="M23" s="382">
        <f t="shared" si="11"/>
        <v>2825501.7602401301</v>
      </c>
      <c r="N23" s="382">
        <f t="shared" si="11"/>
        <v>2825501.7602401301</v>
      </c>
      <c r="O23" s="382">
        <f t="shared" si="11"/>
        <v>2825501.7602401301</v>
      </c>
      <c r="P23" s="382">
        <f t="shared" si="11"/>
        <v>2825501.7602401301</v>
      </c>
      <c r="Q23" s="382">
        <f t="shared" si="11"/>
        <v>2825501.7602401301</v>
      </c>
      <c r="R23" s="382">
        <f t="shared" si="11"/>
        <v>2825501.7602401301</v>
      </c>
      <c r="S23" s="382">
        <f t="shared" si="11"/>
        <v>2825501.7602401301</v>
      </c>
      <c r="T23" s="382">
        <f t="shared" si="11"/>
        <v>2825501.7602401301</v>
      </c>
      <c r="U23" s="382">
        <f t="shared" si="11"/>
        <v>2825501.7602401301</v>
      </c>
      <c r="V23" s="382">
        <f t="shared" si="11"/>
        <v>2825501.7602401301</v>
      </c>
      <c r="W23" s="341"/>
      <c r="X23" s="341"/>
      <c r="Y23" s="59"/>
      <c r="Z23" s="59"/>
      <c r="AA23" s="59"/>
      <c r="AB23" s="59"/>
      <c r="AC23" s="59"/>
      <c r="AD23" s="59"/>
      <c r="AE23" s="59"/>
      <c r="AF23" s="59"/>
      <c r="AG23" s="59"/>
      <c r="AH23" s="59"/>
      <c r="AI23" s="59"/>
      <c r="AJ23" s="59"/>
      <c r="AK23" s="59"/>
      <c r="AL23" s="59"/>
      <c r="AM23" s="59"/>
      <c r="AN23" s="59"/>
      <c r="AO23" s="59"/>
      <c r="AP23" s="59"/>
      <c r="AQ23" s="59"/>
      <c r="AR23" s="59"/>
      <c r="AS23" s="59"/>
      <c r="AT23" s="59"/>
      <c r="AU23" s="59"/>
      <c r="AV23" s="28"/>
      <c r="AW23" s="28"/>
      <c r="AX23" s="28"/>
      <c r="AY23" s="28"/>
      <c r="AZ23" s="28"/>
    </row>
    <row r="24" spans="1:110">
      <c r="A24" s="385"/>
      <c r="B24" s="85"/>
      <c r="C24" s="373"/>
      <c r="D24" s="373"/>
      <c r="E24" s="373"/>
      <c r="F24" s="373"/>
      <c r="G24" s="373"/>
      <c r="H24" s="373"/>
      <c r="I24" s="373"/>
      <c r="J24" s="373"/>
      <c r="K24" s="270"/>
      <c r="L24" s="270"/>
      <c r="M24" s="270"/>
      <c r="N24" s="270"/>
      <c r="O24" s="270"/>
      <c r="P24" s="270"/>
      <c r="Q24" s="270"/>
      <c r="R24" s="270"/>
      <c r="S24" s="270"/>
      <c r="T24" s="270"/>
      <c r="U24" s="270"/>
      <c r="V24" s="270"/>
      <c r="W24" s="341"/>
      <c r="X24" s="341"/>
      <c r="Y24" s="59"/>
      <c r="Z24" s="59"/>
      <c r="AA24" s="59"/>
      <c r="AB24" s="59"/>
      <c r="AC24" s="59"/>
      <c r="AD24" s="59"/>
      <c r="AE24" s="59"/>
      <c r="AF24" s="59"/>
      <c r="AG24" s="59"/>
      <c r="AH24" s="59"/>
      <c r="AI24" s="59"/>
      <c r="AJ24" s="59"/>
      <c r="AK24" s="59"/>
      <c r="AL24" s="59"/>
      <c r="AM24" s="59"/>
      <c r="AN24" s="59"/>
      <c r="AO24" s="59"/>
      <c r="AP24" s="59"/>
      <c r="AQ24" s="28"/>
      <c r="AR24" s="28"/>
      <c r="AS24" s="28"/>
      <c r="AT24" s="28"/>
      <c r="AU24" s="28"/>
      <c r="AV24" s="28"/>
      <c r="AW24" s="28"/>
      <c r="AX24" s="28"/>
      <c r="AY24" s="28"/>
      <c r="AZ24" s="28"/>
    </row>
    <row r="25" spans="1:110">
      <c r="A25" s="83" t="s">
        <v>201</v>
      </c>
      <c r="B25" s="382">
        <v>0</v>
      </c>
      <c r="C25" s="382">
        <f>+'Q8.c-Venda-Veíc. oper.'!B8+'Q10.c-Venda-Outros Veíc.'!B8</f>
        <v>189706.05276175469</v>
      </c>
      <c r="D25" s="382">
        <f>+'Q8.c-Venda-Veíc. oper.'!C8+'Q10.c-Venda-Outros Veíc.'!C8</f>
        <v>189706.05276175469</v>
      </c>
      <c r="E25" s="382">
        <f>+'Q8.c-Venda-Veíc. oper.'!D8+'Q10.c-Venda-Outros Veíc.'!D8</f>
        <v>189706.05276175469</v>
      </c>
      <c r="F25" s="382">
        <f>+'Q8.c-Venda-Veíc. oper.'!E8+'Q10.c-Venda-Outros Veíc.'!E8</f>
        <v>189706.05276175469</v>
      </c>
      <c r="G25" s="382">
        <f>+'Q8.c-Venda-Veíc. oper.'!F8+'Q10.c-Venda-Outros Veíc.'!F8</f>
        <v>270101.40368233959</v>
      </c>
      <c r="H25" s="382">
        <f>+'Q8.c-Venda-Veíc. oper.'!G8+'Q10.c-Venda-Outros Veíc.'!G8</f>
        <v>189706.05276175469</v>
      </c>
      <c r="I25" s="382">
        <f>+'Q8.c-Venda-Veíc. oper.'!H8+'Q10.c-Venda-Outros Veíc.'!H8</f>
        <v>189706.05276175469</v>
      </c>
      <c r="J25" s="382">
        <f>+'Q8.c-Venda-Veíc. oper.'!I8+'Q10.c-Venda-Outros Veíc.'!I8</f>
        <v>189706.05276175469</v>
      </c>
      <c r="K25" s="382">
        <f>+'Q8.c-Venda-Veíc. oper.'!J8+'Q10.c-Venda-Outros Veíc.'!J8</f>
        <v>189706.05276175469</v>
      </c>
      <c r="L25" s="382">
        <f>+'Q8.c-Venda-Veíc. oper.'!K8+'Q10.c-Venda-Outros Veíc.'!K8</f>
        <v>143630.70184116979</v>
      </c>
      <c r="M25" s="382">
        <f>+'Q8.c-Venda-Veíc. oper.'!L8+'Q10.c-Venda-Outros Veíc.'!L8</f>
        <v>189706.05276175469</v>
      </c>
      <c r="N25" s="382">
        <f>+'Q8.c-Venda-Veíc. oper.'!M8+'Q10.c-Venda-Outros Veíc.'!M8</f>
        <v>189706.05276175469</v>
      </c>
      <c r="O25" s="382">
        <f>+'Q8.c-Venda-Veíc. oper.'!N8+'Q10.c-Venda-Outros Veíc.'!N8</f>
        <v>189706.05276175469</v>
      </c>
      <c r="P25" s="382">
        <f>+'Q8.c-Venda-Veíc. oper.'!O8+'Q10.c-Venda-Outros Veíc.'!O8</f>
        <v>189706.05276175469</v>
      </c>
      <c r="Q25" s="382">
        <f>+'Q8.c-Venda-Veíc. oper.'!P8+'Q10.c-Venda-Outros Veíc.'!P8</f>
        <v>270101.40368233959</v>
      </c>
      <c r="R25" s="382">
        <f>+'Q8.c-Venda-Veíc. oper.'!Q8+'Q10.c-Venda-Outros Veíc.'!Q8</f>
        <v>189706.05276175469</v>
      </c>
      <c r="S25" s="382">
        <f>+'Q8.c-Venda-Veíc. oper.'!R8+'Q10.c-Venda-Outros Veíc.'!R8</f>
        <v>189706.05276175469</v>
      </c>
      <c r="T25" s="382">
        <f>+'Q8.c-Venda-Veíc. oper.'!S8+'Q10.c-Venda-Outros Veíc.'!S8</f>
        <v>189706.05276175469</v>
      </c>
      <c r="U25" s="382">
        <f>+'Q8.c-Venda-Veíc. oper.'!T8+'Q10.c-Venda-Outros Veíc.'!T8</f>
        <v>189706.05276175469</v>
      </c>
      <c r="V25" s="382">
        <f>+'Q8.c-Venda-Veíc. oper.'!U8+'Q10.c-Venda-Outros Veíc.'!U8+'Q11-Garagens'!B11+SUM('Q11-Garagens'!B12:V12)-SUM('Q14-Depreciação'!B9:U9)</f>
        <v>7881148.7180124437</v>
      </c>
      <c r="W25" s="294"/>
      <c r="X25" s="341"/>
      <c r="Y25" s="59"/>
      <c r="Z25" s="59"/>
      <c r="AA25" s="59"/>
      <c r="AB25" s="59"/>
      <c r="AC25" s="59"/>
      <c r="AD25" s="59"/>
      <c r="AE25" s="59"/>
      <c r="AF25" s="59"/>
      <c r="AG25" s="59"/>
      <c r="AH25" s="59"/>
      <c r="AI25" s="59"/>
      <c r="AJ25" s="59"/>
      <c r="AK25" s="59"/>
      <c r="AL25" s="59"/>
      <c r="AM25" s="59"/>
      <c r="AN25" s="59"/>
      <c r="AO25" s="59"/>
      <c r="AP25" s="59"/>
      <c r="AQ25" s="28"/>
      <c r="AR25" s="28"/>
      <c r="AS25" s="28"/>
      <c r="AT25" s="28"/>
      <c r="AU25" s="28"/>
      <c r="AV25" s="28"/>
      <c r="AW25" s="28"/>
      <c r="AX25" s="28"/>
      <c r="AY25" s="28"/>
      <c r="AZ25" s="28"/>
    </row>
    <row r="26" spans="1:110">
      <c r="A26" s="86"/>
      <c r="B26" s="389"/>
      <c r="C26" s="87"/>
      <c r="D26" s="389"/>
      <c r="E26" s="389"/>
      <c r="F26" s="389"/>
      <c r="G26" s="389"/>
      <c r="H26" s="389"/>
      <c r="I26" s="389"/>
      <c r="J26" s="389"/>
      <c r="K26" s="341"/>
      <c r="L26" s="341"/>
      <c r="M26" s="341"/>
      <c r="N26" s="341"/>
      <c r="O26" s="341"/>
      <c r="P26" s="341"/>
      <c r="Q26" s="341"/>
      <c r="R26" s="341"/>
      <c r="S26" s="341"/>
      <c r="T26" s="341"/>
      <c r="U26" s="341"/>
      <c r="V26" s="341"/>
      <c r="W26" s="341"/>
      <c r="X26" s="341"/>
      <c r="Y26" s="59"/>
      <c r="Z26" s="59"/>
      <c r="AA26" s="59"/>
      <c r="AB26" s="59"/>
      <c r="AC26" s="59"/>
      <c r="AD26" s="59"/>
      <c r="AE26" s="59"/>
      <c r="AF26" s="59"/>
      <c r="AG26" s="59"/>
      <c r="AH26" s="59"/>
      <c r="AI26" s="59"/>
      <c r="AJ26" s="59"/>
      <c r="AK26" s="59"/>
      <c r="AL26" s="59"/>
      <c r="AM26" s="59"/>
      <c r="AN26" s="59"/>
      <c r="AO26" s="59"/>
      <c r="AP26" s="59"/>
      <c r="AQ26" s="28"/>
      <c r="AR26" s="28"/>
      <c r="AS26" s="28"/>
      <c r="AT26" s="28"/>
      <c r="AU26" s="28"/>
      <c r="AV26" s="28"/>
      <c r="AW26" s="28"/>
      <c r="AX26" s="28"/>
      <c r="AY26" s="28"/>
      <c r="AZ26" s="28"/>
    </row>
    <row r="27" spans="1:110">
      <c r="A27" s="83" t="s">
        <v>165</v>
      </c>
      <c r="B27" s="100">
        <f>B23+B25</f>
        <v>-30000</v>
      </c>
      <c r="C27" s="100">
        <f t="shared" ref="C27:V27" si="12">C23+C25</f>
        <v>3015207.8130018846</v>
      </c>
      <c r="D27" s="100">
        <f t="shared" si="12"/>
        <v>3015207.8130018846</v>
      </c>
      <c r="E27" s="100">
        <f t="shared" si="12"/>
        <v>3015207.8130018846</v>
      </c>
      <c r="F27" s="100">
        <f t="shared" si="12"/>
        <v>3015207.8130018846</v>
      </c>
      <c r="G27" s="100">
        <f t="shared" si="12"/>
        <v>3095603.1639224696</v>
      </c>
      <c r="H27" s="100">
        <f t="shared" si="12"/>
        <v>3015207.8130018846</v>
      </c>
      <c r="I27" s="100">
        <f t="shared" si="12"/>
        <v>3015207.8130018846</v>
      </c>
      <c r="J27" s="100">
        <f t="shared" si="12"/>
        <v>3015207.8130018846</v>
      </c>
      <c r="K27" s="100">
        <f t="shared" si="12"/>
        <v>3015207.8130018846</v>
      </c>
      <c r="L27" s="100">
        <f t="shared" si="12"/>
        <v>2969132.4620813001</v>
      </c>
      <c r="M27" s="100">
        <f t="shared" si="12"/>
        <v>3015207.8130018846</v>
      </c>
      <c r="N27" s="100">
        <f t="shared" si="12"/>
        <v>3015207.8130018846</v>
      </c>
      <c r="O27" s="100">
        <f t="shared" si="12"/>
        <v>3015207.8130018846</v>
      </c>
      <c r="P27" s="100">
        <f t="shared" si="12"/>
        <v>3015207.8130018846</v>
      </c>
      <c r="Q27" s="100">
        <f t="shared" si="12"/>
        <v>3095603.1639224696</v>
      </c>
      <c r="R27" s="100">
        <f t="shared" si="12"/>
        <v>3015207.8130018846</v>
      </c>
      <c r="S27" s="100">
        <f t="shared" si="12"/>
        <v>3015207.8130018846</v>
      </c>
      <c r="T27" s="100">
        <f t="shared" si="12"/>
        <v>3015207.8130018846</v>
      </c>
      <c r="U27" s="100">
        <f t="shared" si="12"/>
        <v>3015207.8130018846</v>
      </c>
      <c r="V27" s="100">
        <f t="shared" si="12"/>
        <v>10706650.478252575</v>
      </c>
      <c r="W27" s="341"/>
      <c r="X27" s="341"/>
      <c r="Y27" s="59"/>
      <c r="Z27" s="59"/>
      <c r="AA27" s="59"/>
      <c r="AB27" s="59"/>
      <c r="AC27" s="59"/>
      <c r="AD27" s="59"/>
      <c r="AE27" s="59"/>
      <c r="AF27" s="59"/>
      <c r="AG27" s="59"/>
      <c r="AH27" s="59"/>
      <c r="AI27" s="59"/>
      <c r="AJ27" s="59"/>
      <c r="AK27" s="59"/>
      <c r="AL27" s="59"/>
      <c r="AM27" s="59"/>
      <c r="AN27" s="59"/>
      <c r="AO27" s="59"/>
      <c r="AP27" s="59"/>
      <c r="AQ27" s="28"/>
      <c r="AR27" s="28"/>
      <c r="AS27" s="28"/>
      <c r="AT27" s="28"/>
      <c r="AU27" s="28"/>
      <c r="AV27" s="28"/>
      <c r="AW27" s="28"/>
      <c r="AX27" s="28"/>
      <c r="AY27" s="28"/>
      <c r="AZ27" s="28"/>
    </row>
    <row r="28" spans="1:110">
      <c r="A28" s="86"/>
      <c r="B28" s="389"/>
      <c r="C28" s="87"/>
      <c r="D28" s="389"/>
      <c r="E28" s="389"/>
      <c r="F28" s="389"/>
      <c r="G28" s="389"/>
      <c r="H28" s="389"/>
      <c r="I28" s="389"/>
      <c r="J28" s="389"/>
      <c r="K28" s="341"/>
      <c r="L28" s="341"/>
      <c r="M28" s="341"/>
      <c r="N28" s="341"/>
      <c r="O28" s="341"/>
      <c r="P28" s="341"/>
      <c r="Q28" s="341"/>
      <c r="R28" s="341"/>
      <c r="S28" s="341"/>
      <c r="T28" s="341"/>
      <c r="U28" s="341"/>
      <c r="V28" s="341"/>
      <c r="W28" s="341"/>
      <c r="X28" s="341"/>
      <c r="Y28" s="59"/>
      <c r="Z28" s="59"/>
      <c r="AA28" s="59"/>
      <c r="AB28" s="59"/>
      <c r="AC28" s="59"/>
      <c r="AD28" s="59"/>
      <c r="AE28" s="59"/>
      <c r="AF28" s="59"/>
      <c r="AG28" s="59"/>
      <c r="AH28" s="59"/>
      <c r="AI28" s="59"/>
      <c r="AJ28" s="59"/>
      <c r="AK28" s="59"/>
      <c r="AL28" s="59"/>
      <c r="AM28" s="59"/>
      <c r="AN28" s="59"/>
      <c r="AO28" s="59"/>
      <c r="AP28" s="59"/>
      <c r="AQ28" s="28"/>
      <c r="AR28" s="28"/>
      <c r="AS28" s="28"/>
      <c r="AT28" s="28"/>
      <c r="AU28" s="28"/>
      <c r="AV28" s="28"/>
      <c r="AW28" s="28"/>
      <c r="AX28" s="28"/>
      <c r="AY28" s="28"/>
      <c r="AZ28" s="28"/>
    </row>
    <row r="29" spans="1:110">
      <c r="A29" s="83" t="s">
        <v>263</v>
      </c>
      <c r="B29" s="382"/>
      <c r="C29" s="380">
        <f>'Q14-Depreciação'!B13</f>
        <v>1898536.723650485</v>
      </c>
      <c r="D29" s="380">
        <f>'Q14-Depreciação'!C13</f>
        <v>1898536.723650485</v>
      </c>
      <c r="E29" s="380">
        <f>'Q14-Depreciação'!D13</f>
        <v>1898536.723650485</v>
      </c>
      <c r="F29" s="380">
        <f>'Q14-Depreciação'!E13</f>
        <v>1898536.723650485</v>
      </c>
      <c r="G29" s="380">
        <f>'Q14-Depreciação'!F13</f>
        <v>2052990.6309519475</v>
      </c>
      <c r="H29" s="380">
        <f>'Q14-Depreciação'!G13</f>
        <v>2207444.5382534098</v>
      </c>
      <c r="I29" s="380">
        <f>'Q14-Depreciação'!H13</f>
        <v>2207444.5382534098</v>
      </c>
      <c r="J29" s="380">
        <f>'Q14-Depreciação'!I13</f>
        <v>2207444.5382534098</v>
      </c>
      <c r="K29" s="380">
        <f>'Q14-Depreciação'!J13</f>
        <v>2207444.5382534098</v>
      </c>
      <c r="L29" s="380">
        <f>'Q14-Depreciação'!K13</f>
        <v>2052990.6309519475</v>
      </c>
      <c r="M29" s="380">
        <f>'Q14-Depreciação'!L13</f>
        <v>1870939.6996504848</v>
      </c>
      <c r="N29" s="380">
        <f>'Q14-Depreciação'!M13</f>
        <v>1870939.6996504848</v>
      </c>
      <c r="O29" s="380">
        <f>'Q14-Depreciação'!N13</f>
        <v>1870939.6996504848</v>
      </c>
      <c r="P29" s="380">
        <f>'Q14-Depreciação'!O13</f>
        <v>1870939.6996504848</v>
      </c>
      <c r="Q29" s="380">
        <f>'Q14-Depreciação'!P13</f>
        <v>2025393.6069519473</v>
      </c>
      <c r="R29" s="380">
        <f>'Q14-Depreciação'!Q13</f>
        <v>2179847.5142534096</v>
      </c>
      <c r="S29" s="380">
        <f>'Q14-Depreciação'!R13</f>
        <v>2179847.5142534096</v>
      </c>
      <c r="T29" s="380">
        <f>'Q14-Depreciação'!S13</f>
        <v>2179847.5142534096</v>
      </c>
      <c r="U29" s="380">
        <f>'Q14-Depreciação'!T13</f>
        <v>2179847.5142534096</v>
      </c>
      <c r="V29" s="380">
        <f>'Q14-Depreciação'!U13</f>
        <v>2025393.6069519473</v>
      </c>
      <c r="W29" s="341"/>
      <c r="X29" s="341"/>
      <c r="Y29" s="59"/>
      <c r="Z29" s="59"/>
      <c r="AA29" s="59"/>
      <c r="AB29" s="59"/>
      <c r="AC29" s="59"/>
      <c r="AD29" s="59"/>
      <c r="AE29" s="59"/>
      <c r="AF29" s="59"/>
      <c r="AG29" s="59"/>
      <c r="AH29" s="59"/>
      <c r="AI29" s="59"/>
      <c r="AJ29" s="59"/>
      <c r="AK29" s="59"/>
      <c r="AL29" s="59"/>
      <c r="AM29" s="59"/>
      <c r="AN29" s="59"/>
      <c r="AO29" s="59"/>
      <c r="AP29" s="59"/>
      <c r="AQ29" s="28"/>
      <c r="AR29" s="28"/>
      <c r="AS29" s="28"/>
      <c r="AT29" s="28"/>
      <c r="AU29" s="28"/>
      <c r="AV29" s="28"/>
      <c r="AW29" s="28"/>
      <c r="AX29" s="28"/>
      <c r="AY29" s="28"/>
      <c r="AZ29" s="28"/>
    </row>
    <row r="30" spans="1:110">
      <c r="A30" s="86"/>
      <c r="B30" s="389"/>
      <c r="C30" s="87"/>
      <c r="D30" s="389"/>
      <c r="E30" s="389"/>
      <c r="F30" s="389"/>
      <c r="G30" s="389"/>
      <c r="H30" s="389"/>
      <c r="I30" s="389"/>
      <c r="J30" s="389"/>
      <c r="K30" s="341"/>
      <c r="L30" s="341"/>
      <c r="M30" s="341"/>
      <c r="N30" s="341"/>
      <c r="O30" s="341"/>
      <c r="P30" s="341"/>
      <c r="Q30" s="341"/>
      <c r="R30" s="341"/>
      <c r="S30" s="341"/>
      <c r="T30" s="341"/>
      <c r="U30" s="341"/>
      <c r="V30" s="341"/>
      <c r="W30" s="341"/>
      <c r="X30" s="341"/>
      <c r="Y30" s="59"/>
      <c r="Z30" s="59"/>
      <c r="AA30" s="59"/>
      <c r="AB30" s="59"/>
      <c r="AC30" s="59"/>
      <c r="AD30" s="59"/>
      <c r="AE30" s="59"/>
      <c r="AF30" s="59"/>
      <c r="AG30" s="59"/>
      <c r="AH30" s="59"/>
      <c r="AI30" s="59"/>
      <c r="AJ30" s="59"/>
      <c r="AK30" s="59"/>
      <c r="AL30" s="59"/>
      <c r="AM30" s="59"/>
      <c r="AN30" s="59"/>
      <c r="AO30" s="59"/>
      <c r="AP30" s="59"/>
      <c r="AQ30" s="28"/>
      <c r="AR30" s="28"/>
      <c r="AS30" s="28"/>
      <c r="AT30" s="28"/>
      <c r="AU30" s="28"/>
      <c r="AV30" s="28"/>
      <c r="AW30" s="28"/>
      <c r="AX30" s="28"/>
      <c r="AY30" s="28"/>
      <c r="AZ30" s="28"/>
    </row>
    <row r="31" spans="1:110">
      <c r="A31" s="83" t="s">
        <v>264</v>
      </c>
      <c r="B31" s="277">
        <f>B27-B29</f>
        <v>-30000</v>
      </c>
      <c r="C31" s="277">
        <f t="shared" ref="C31:V31" si="13">C27-C29</f>
        <v>1116671.0893513996</v>
      </c>
      <c r="D31" s="277">
        <f t="shared" si="13"/>
        <v>1116671.0893513996</v>
      </c>
      <c r="E31" s="277">
        <f t="shared" si="13"/>
        <v>1116671.0893513996</v>
      </c>
      <c r="F31" s="277">
        <f t="shared" si="13"/>
        <v>1116671.0893513996</v>
      </c>
      <c r="G31" s="277">
        <f t="shared" si="13"/>
        <v>1042612.5329705221</v>
      </c>
      <c r="H31" s="277">
        <f t="shared" si="13"/>
        <v>807763.27474847483</v>
      </c>
      <c r="I31" s="277">
        <f t="shared" si="13"/>
        <v>807763.27474847483</v>
      </c>
      <c r="J31" s="277">
        <f t="shared" si="13"/>
        <v>807763.27474847483</v>
      </c>
      <c r="K31" s="277">
        <f t="shared" si="13"/>
        <v>807763.27474847483</v>
      </c>
      <c r="L31" s="277">
        <f t="shared" si="13"/>
        <v>916141.83112935256</v>
      </c>
      <c r="M31" s="277">
        <f t="shared" si="13"/>
        <v>1144268.1133513998</v>
      </c>
      <c r="N31" s="277">
        <f t="shared" si="13"/>
        <v>1144268.1133513998</v>
      </c>
      <c r="O31" s="277">
        <f t="shared" si="13"/>
        <v>1144268.1133513998</v>
      </c>
      <c r="P31" s="277">
        <f t="shared" si="13"/>
        <v>1144268.1133513998</v>
      </c>
      <c r="Q31" s="277">
        <f t="shared" si="13"/>
        <v>1070209.5569705223</v>
      </c>
      <c r="R31" s="277">
        <f t="shared" si="13"/>
        <v>835360.29874847503</v>
      </c>
      <c r="S31" s="277">
        <f t="shared" si="13"/>
        <v>835360.29874847503</v>
      </c>
      <c r="T31" s="277">
        <f t="shared" si="13"/>
        <v>835360.29874847503</v>
      </c>
      <c r="U31" s="277">
        <f t="shared" si="13"/>
        <v>835360.29874847503</v>
      </c>
      <c r="V31" s="277">
        <f t="shared" si="13"/>
        <v>8681256.8713006265</v>
      </c>
      <c r="W31" s="341"/>
      <c r="X31" s="341"/>
      <c r="Y31" s="59"/>
      <c r="Z31" s="59"/>
      <c r="AA31" s="59"/>
      <c r="AB31" s="59"/>
      <c r="AC31" s="59"/>
      <c r="AD31" s="59"/>
      <c r="AE31" s="59"/>
      <c r="AF31" s="59"/>
      <c r="AG31" s="59"/>
      <c r="AH31" s="59"/>
      <c r="AI31" s="59"/>
      <c r="AJ31" s="59"/>
      <c r="AK31" s="59"/>
      <c r="AL31" s="59"/>
      <c r="AM31" s="59"/>
      <c r="AN31" s="59"/>
      <c r="AO31" s="59"/>
      <c r="AP31" s="59"/>
      <c r="AQ31" s="28"/>
      <c r="AR31" s="28"/>
      <c r="AS31" s="28"/>
      <c r="AT31" s="28"/>
      <c r="AU31" s="28"/>
      <c r="AV31" s="28"/>
      <c r="AW31" s="28"/>
      <c r="AX31" s="28"/>
      <c r="AY31" s="28"/>
      <c r="AZ31" s="28"/>
    </row>
    <row r="32" spans="1:110">
      <c r="A32" s="86"/>
      <c r="B32" s="389"/>
      <c r="C32" s="87"/>
      <c r="D32" s="389"/>
      <c r="E32" s="389"/>
      <c r="F32" s="389"/>
      <c r="G32" s="389"/>
      <c r="H32" s="389"/>
      <c r="I32" s="389"/>
      <c r="J32" s="389"/>
      <c r="K32" s="341"/>
      <c r="L32" s="341"/>
      <c r="M32" s="341"/>
      <c r="N32" s="341"/>
      <c r="O32" s="341"/>
      <c r="P32" s="341"/>
      <c r="Q32" s="341"/>
      <c r="R32" s="341"/>
      <c r="S32" s="341"/>
      <c r="T32" s="341"/>
      <c r="U32" s="341"/>
      <c r="V32" s="341"/>
      <c r="W32" s="341"/>
      <c r="X32" s="341"/>
      <c r="Y32" s="59"/>
      <c r="Z32" s="59"/>
      <c r="AA32" s="59"/>
      <c r="AB32" s="59"/>
      <c r="AC32" s="59"/>
      <c r="AD32" s="59"/>
      <c r="AE32" s="59"/>
      <c r="AF32" s="59"/>
      <c r="AG32" s="59"/>
      <c r="AH32" s="59"/>
      <c r="AI32" s="59"/>
      <c r="AJ32" s="59"/>
      <c r="AK32" s="59"/>
      <c r="AL32" s="59"/>
      <c r="AM32" s="59"/>
      <c r="AN32" s="59"/>
      <c r="AO32" s="59"/>
      <c r="AP32" s="59"/>
      <c r="AQ32" s="28"/>
      <c r="AR32" s="28"/>
      <c r="AS32" s="28"/>
      <c r="AT32" s="28"/>
      <c r="AU32" s="28"/>
      <c r="AV32" s="28"/>
      <c r="AW32" s="28"/>
      <c r="AX32" s="28"/>
      <c r="AY32" s="28"/>
      <c r="AZ32" s="28"/>
    </row>
    <row r="33" spans="1:52">
      <c r="A33" s="83" t="s">
        <v>265</v>
      </c>
      <c r="B33" s="380">
        <f>'Q13-Tributos'!D30+'Q13-Tributos'!D34</f>
        <v>0</v>
      </c>
      <c r="C33" s="380">
        <f>'Q13-Tributos'!E30+'Q13-Tributos'!E34</f>
        <v>372444.17037947587</v>
      </c>
      <c r="D33" s="380">
        <f>'Q13-Tributos'!F30+'Q13-Tributos'!F34</f>
        <v>379644.17037947587</v>
      </c>
      <c r="E33" s="380">
        <f>'Q13-Tributos'!G30+'Q13-Tributos'!G34</f>
        <v>379644.17037947587</v>
      </c>
      <c r="F33" s="380">
        <f>'Q13-Tributos'!H30+'Q13-Tributos'!H34</f>
        <v>379644.17037947587</v>
      </c>
      <c r="G33" s="380">
        <f>'Q13-Tributos'!I30+'Q13-Tributos'!I34</f>
        <v>354464.2612099775</v>
      </c>
      <c r="H33" s="380">
        <f>'Q13-Tributos'!J30+'Q13-Tributos'!J34</f>
        <v>274615.51341448142</v>
      </c>
      <c r="I33" s="380">
        <f>'Q13-Tributos'!K30+'Q13-Tributos'!K34</f>
        <v>274615.51341448142</v>
      </c>
      <c r="J33" s="380">
        <f>'Q13-Tributos'!L30+'Q13-Tributos'!L34</f>
        <v>274615.51341448142</v>
      </c>
      <c r="K33" s="380">
        <f>'Q13-Tributos'!M30+'Q13-Tributos'!M34</f>
        <v>274615.51341448142</v>
      </c>
      <c r="L33" s="380">
        <f>'Q13-Tributos'!N30+'Q13-Tributos'!N34</f>
        <v>311464.22258397983</v>
      </c>
      <c r="M33" s="380">
        <f>'Q13-Tributos'!O30+'Q13-Tributos'!O34</f>
        <v>389027.15853947593</v>
      </c>
      <c r="N33" s="380">
        <f>'Q13-Tributos'!P30+'Q13-Tributos'!P34</f>
        <v>389027.15853947593</v>
      </c>
      <c r="O33" s="380">
        <f>'Q13-Tributos'!Q30+'Q13-Tributos'!Q34</f>
        <v>389027.15853947593</v>
      </c>
      <c r="P33" s="380">
        <f>'Q13-Tributos'!R30+'Q13-Tributos'!R34</f>
        <v>389027.15853947593</v>
      </c>
      <c r="Q33" s="380">
        <f>'Q13-Tributos'!S30+'Q13-Tributos'!S34</f>
        <v>363847.24936997757</v>
      </c>
      <c r="R33" s="380">
        <f>'Q13-Tributos'!T30+'Q13-Tributos'!T34</f>
        <v>283998.50157448149</v>
      </c>
      <c r="S33" s="380">
        <f>'Q13-Tributos'!U30+'Q13-Tributos'!U34</f>
        <v>283998.50157448149</v>
      </c>
      <c r="T33" s="380">
        <f>'Q13-Tributos'!V30+'Q13-Tributos'!V34</f>
        <v>283998.50157448149</v>
      </c>
      <c r="U33" s="380">
        <f>'Q13-Tributos'!W30+'Q13-Tributos'!W34</f>
        <v>283998.50157448149</v>
      </c>
      <c r="V33" s="380">
        <f>'Q13-Tributos'!X30+'Q13-Tributos'!X34</f>
        <v>2951603.3362422129</v>
      </c>
      <c r="W33" s="341"/>
      <c r="X33" s="341"/>
      <c r="Y33" s="59"/>
      <c r="Z33" s="59"/>
      <c r="AA33" s="59"/>
      <c r="AB33" s="59"/>
      <c r="AC33" s="59"/>
      <c r="AD33" s="59"/>
      <c r="AE33" s="59"/>
      <c r="AF33" s="59"/>
      <c r="AG33" s="59"/>
      <c r="AH33" s="59"/>
      <c r="AI33" s="59"/>
      <c r="AJ33" s="59"/>
      <c r="AK33" s="59"/>
      <c r="AL33" s="59"/>
      <c r="AM33" s="59"/>
      <c r="AN33" s="59"/>
      <c r="AO33" s="59"/>
      <c r="AP33" s="59"/>
      <c r="AQ33" s="28"/>
      <c r="AR33" s="28"/>
      <c r="AS33" s="28"/>
      <c r="AT33" s="28"/>
      <c r="AU33" s="28"/>
      <c r="AV33" s="28"/>
      <c r="AW33" s="28"/>
      <c r="AX33" s="28"/>
      <c r="AY33" s="28"/>
      <c r="AZ33" s="28"/>
    </row>
    <row r="34" spans="1:52">
      <c r="A34" s="86"/>
      <c r="B34" s="389"/>
      <c r="C34" s="87"/>
      <c r="D34" s="389"/>
      <c r="E34" s="389"/>
      <c r="F34" s="389"/>
      <c r="G34" s="389"/>
      <c r="H34" s="389"/>
      <c r="I34" s="389"/>
      <c r="J34" s="389"/>
      <c r="K34" s="341"/>
      <c r="L34" s="341"/>
      <c r="M34" s="341"/>
      <c r="N34" s="341"/>
      <c r="O34" s="341"/>
      <c r="P34" s="341"/>
      <c r="Q34" s="341"/>
      <c r="R34" s="341"/>
      <c r="S34" s="341"/>
      <c r="T34" s="341"/>
      <c r="U34" s="341"/>
      <c r="V34" s="341"/>
      <c r="W34" s="341"/>
      <c r="X34" s="341"/>
      <c r="Y34" s="59"/>
      <c r="Z34" s="59"/>
      <c r="AA34" s="59"/>
      <c r="AB34" s="59"/>
      <c r="AC34" s="59"/>
      <c r="AD34" s="59"/>
      <c r="AE34" s="59"/>
      <c r="AF34" s="59"/>
      <c r="AG34" s="59"/>
      <c r="AH34" s="59"/>
      <c r="AI34" s="59"/>
      <c r="AJ34" s="59"/>
      <c r="AK34" s="59"/>
      <c r="AL34" s="59"/>
      <c r="AM34" s="59"/>
      <c r="AN34" s="59"/>
      <c r="AO34" s="59"/>
      <c r="AP34" s="59"/>
      <c r="AQ34" s="28"/>
      <c r="AR34" s="28"/>
      <c r="AS34" s="28"/>
      <c r="AT34" s="28"/>
      <c r="AU34" s="28"/>
      <c r="AV34" s="28"/>
      <c r="AW34" s="28"/>
      <c r="AX34" s="28"/>
      <c r="AY34" s="28"/>
      <c r="AZ34" s="28"/>
    </row>
    <row r="35" spans="1:52">
      <c r="A35" s="88" t="s">
        <v>266</v>
      </c>
      <c r="B35" s="100">
        <f>B27-B33</f>
        <v>-30000</v>
      </c>
      <c r="C35" s="100">
        <f t="shared" ref="C35:V35" si="14">C27-C33</f>
        <v>2642763.6426224089</v>
      </c>
      <c r="D35" s="100">
        <f t="shared" si="14"/>
        <v>2635563.6426224089</v>
      </c>
      <c r="E35" s="100">
        <f t="shared" si="14"/>
        <v>2635563.6426224089</v>
      </c>
      <c r="F35" s="100">
        <f t="shared" si="14"/>
        <v>2635563.6426224089</v>
      </c>
      <c r="G35" s="100">
        <f t="shared" si="14"/>
        <v>2741138.9027124923</v>
      </c>
      <c r="H35" s="100">
        <f t="shared" si="14"/>
        <v>2740592.2995874034</v>
      </c>
      <c r="I35" s="100">
        <f t="shared" si="14"/>
        <v>2740592.2995874034</v>
      </c>
      <c r="J35" s="100">
        <f t="shared" si="14"/>
        <v>2740592.2995874034</v>
      </c>
      <c r="K35" s="100">
        <f t="shared" si="14"/>
        <v>2740592.2995874034</v>
      </c>
      <c r="L35" s="100">
        <f t="shared" si="14"/>
        <v>2657668.2394973203</v>
      </c>
      <c r="M35" s="100">
        <f t="shared" si="14"/>
        <v>2626180.6544624087</v>
      </c>
      <c r="N35" s="100">
        <f t="shared" si="14"/>
        <v>2626180.6544624087</v>
      </c>
      <c r="O35" s="100">
        <f t="shared" si="14"/>
        <v>2626180.6544624087</v>
      </c>
      <c r="P35" s="100">
        <f t="shared" si="14"/>
        <v>2626180.6544624087</v>
      </c>
      <c r="Q35" s="100">
        <f t="shared" si="14"/>
        <v>2731755.9145524921</v>
      </c>
      <c r="R35" s="100">
        <f t="shared" si="14"/>
        <v>2731209.3114274032</v>
      </c>
      <c r="S35" s="100">
        <f t="shared" si="14"/>
        <v>2731209.3114274032</v>
      </c>
      <c r="T35" s="100">
        <f t="shared" si="14"/>
        <v>2731209.3114274032</v>
      </c>
      <c r="U35" s="100">
        <f t="shared" si="14"/>
        <v>2731209.3114274032</v>
      </c>
      <c r="V35" s="100">
        <f t="shared" si="14"/>
        <v>7755047.1420103619</v>
      </c>
      <c r="W35" s="341"/>
      <c r="X35" s="341"/>
      <c r="Y35" s="59"/>
      <c r="Z35" s="59"/>
      <c r="AA35" s="59"/>
      <c r="AB35" s="59"/>
      <c r="AC35" s="59"/>
      <c r="AD35" s="59"/>
      <c r="AE35" s="59"/>
      <c r="AF35" s="59"/>
      <c r="AG35" s="59"/>
      <c r="AH35" s="59"/>
      <c r="AI35" s="59"/>
      <c r="AJ35" s="59"/>
      <c r="AK35" s="59"/>
      <c r="AL35" s="59"/>
      <c r="AM35" s="59"/>
      <c r="AN35" s="59"/>
      <c r="AO35" s="59"/>
      <c r="AP35" s="59"/>
      <c r="AQ35" s="28"/>
      <c r="AR35" s="28"/>
      <c r="AS35" s="28"/>
      <c r="AT35" s="28"/>
      <c r="AU35" s="28"/>
      <c r="AV35" s="28"/>
      <c r="AW35" s="28"/>
      <c r="AX35" s="28"/>
      <c r="AY35" s="28"/>
      <c r="AZ35" s="28"/>
    </row>
    <row r="36" spans="1:52">
      <c r="A36" s="62"/>
      <c r="B36" s="341"/>
      <c r="C36" s="63"/>
      <c r="D36" s="341"/>
      <c r="E36" s="341"/>
      <c r="F36" s="341"/>
      <c r="G36" s="341"/>
      <c r="H36" s="341"/>
      <c r="I36" s="341"/>
      <c r="J36" s="341"/>
      <c r="K36" s="341"/>
      <c r="L36" s="341"/>
      <c r="M36" s="341"/>
      <c r="N36" s="341"/>
      <c r="O36" s="341"/>
      <c r="P36" s="341"/>
      <c r="Q36" s="341"/>
      <c r="R36" s="341"/>
      <c r="S36" s="341"/>
      <c r="T36" s="341"/>
      <c r="U36" s="341"/>
      <c r="V36" s="341"/>
      <c r="W36" s="341"/>
      <c r="X36" s="341"/>
      <c r="Y36" s="59"/>
      <c r="Z36" s="59"/>
      <c r="AA36" s="59"/>
      <c r="AB36" s="59"/>
      <c r="AC36" s="59"/>
      <c r="AD36" s="59"/>
      <c r="AE36" s="59"/>
      <c r="AF36" s="59"/>
      <c r="AG36" s="59"/>
      <c r="AH36" s="59"/>
      <c r="AI36" s="59"/>
      <c r="AJ36" s="59"/>
      <c r="AK36" s="59"/>
      <c r="AL36" s="59"/>
      <c r="AM36" s="59"/>
      <c r="AN36" s="59"/>
      <c r="AO36" s="59"/>
      <c r="AP36" s="59"/>
      <c r="AQ36" s="28"/>
      <c r="AR36" s="28"/>
      <c r="AS36" s="28"/>
      <c r="AT36" s="28"/>
      <c r="AU36" s="28"/>
      <c r="AV36" s="28"/>
      <c r="AW36" s="28"/>
      <c r="AX36" s="28"/>
      <c r="AY36" s="28"/>
      <c r="AZ36" s="28"/>
    </row>
    <row r="37" spans="1:52">
      <c r="A37" s="64" t="s">
        <v>130</v>
      </c>
      <c r="B37" s="100">
        <f>SUM(B39,B41:B44)</f>
        <v>10863036.206808195</v>
      </c>
      <c r="C37" s="100">
        <f t="shared" ref="C37:V37" si="15">SUM(C39,C41:C44)</f>
        <v>1897060.5276175474</v>
      </c>
      <c r="D37" s="100">
        <f t="shared" si="15"/>
        <v>1897060.5276175474</v>
      </c>
      <c r="E37" s="100">
        <f t="shared" si="15"/>
        <v>1897060.5276175474</v>
      </c>
      <c r="F37" s="100">
        <f t="shared" si="15"/>
        <v>1897060.5276175474</v>
      </c>
      <c r="G37" s="100">
        <f t="shared" si="15"/>
        <v>2599414.0368233966</v>
      </c>
      <c r="H37" s="100">
        <f t="shared" si="15"/>
        <v>2442111.0067855474</v>
      </c>
      <c r="I37" s="100">
        <f t="shared" si="15"/>
        <v>1897060.5276175474</v>
      </c>
      <c r="J37" s="100">
        <f t="shared" si="15"/>
        <v>1897060.5276175474</v>
      </c>
      <c r="K37" s="100">
        <f t="shared" si="15"/>
        <v>1897060.5276175474</v>
      </c>
      <c r="L37" s="100">
        <f t="shared" si="15"/>
        <v>1334707.0184116983</v>
      </c>
      <c r="M37" s="100">
        <f t="shared" si="15"/>
        <v>2365660.5276175477</v>
      </c>
      <c r="N37" s="100">
        <f t="shared" si="15"/>
        <v>1973511.0067855474</v>
      </c>
      <c r="O37" s="100">
        <f t="shared" si="15"/>
        <v>1897060.5276175474</v>
      </c>
      <c r="P37" s="100">
        <f t="shared" si="15"/>
        <v>1897060.5276175474</v>
      </c>
      <c r="Q37" s="100">
        <f t="shared" si="15"/>
        <v>2599414.0368233966</v>
      </c>
      <c r="R37" s="100">
        <f t="shared" si="15"/>
        <v>2365660.5276175477</v>
      </c>
      <c r="S37" s="100">
        <f t="shared" si="15"/>
        <v>1897060.5276175474</v>
      </c>
      <c r="T37" s="100">
        <f t="shared" si="15"/>
        <v>1973511.0067855474</v>
      </c>
      <c r="U37" s="100">
        <f t="shared" si="15"/>
        <v>1897060.5276175474</v>
      </c>
      <c r="V37" s="100">
        <f t="shared" si="15"/>
        <v>0</v>
      </c>
      <c r="W37" s="294"/>
      <c r="X37" s="341"/>
      <c r="Y37" s="59"/>
      <c r="Z37" s="59"/>
      <c r="AA37" s="59"/>
      <c r="AB37" s="59"/>
      <c r="AC37" s="59"/>
      <c r="AD37" s="59"/>
      <c r="AE37" s="59"/>
      <c r="AF37" s="59"/>
      <c r="AG37" s="59"/>
      <c r="AH37" s="59"/>
      <c r="AI37" s="59"/>
      <c r="AJ37" s="59"/>
      <c r="AK37" s="59"/>
      <c r="AL37" s="59"/>
      <c r="AM37" s="59"/>
      <c r="AN37" s="59"/>
      <c r="AO37" s="59"/>
      <c r="AP37" s="59"/>
      <c r="AQ37" s="28"/>
      <c r="AR37" s="28"/>
      <c r="AS37" s="28"/>
      <c r="AT37" s="28"/>
      <c r="AU37" s="28"/>
      <c r="AV37" s="28"/>
      <c r="AW37" s="28"/>
      <c r="AX37" s="28"/>
      <c r="AY37" s="28"/>
      <c r="AZ37" s="28"/>
    </row>
    <row r="38" spans="1:52">
      <c r="A38" s="394" t="s">
        <v>100</v>
      </c>
      <c r="B38" s="277"/>
      <c r="C38" s="277"/>
      <c r="D38" s="277"/>
      <c r="E38" s="277"/>
      <c r="F38" s="277"/>
      <c r="G38" s="277"/>
      <c r="H38" s="277"/>
      <c r="I38" s="277"/>
      <c r="J38" s="277"/>
      <c r="K38" s="277"/>
      <c r="L38" s="277"/>
      <c r="M38" s="277"/>
      <c r="N38" s="277"/>
      <c r="O38" s="277"/>
      <c r="P38" s="277"/>
      <c r="Q38" s="277"/>
      <c r="R38" s="277"/>
      <c r="S38" s="277"/>
      <c r="T38" s="277"/>
      <c r="U38" s="277"/>
      <c r="V38" s="277"/>
      <c r="W38" s="341"/>
      <c r="X38" s="341"/>
      <c r="Y38" s="59"/>
      <c r="Z38" s="59"/>
      <c r="AA38" s="59"/>
      <c r="AB38" s="59"/>
      <c r="AC38" s="59"/>
      <c r="AD38" s="59"/>
      <c r="AE38" s="59"/>
      <c r="AF38" s="59"/>
      <c r="AG38" s="59"/>
      <c r="AH38" s="59"/>
      <c r="AI38" s="59"/>
      <c r="AJ38" s="59"/>
      <c r="AK38" s="59"/>
      <c r="AL38" s="59"/>
      <c r="AM38" s="59"/>
      <c r="AN38" s="59"/>
      <c r="AO38" s="59"/>
      <c r="AP38" s="59"/>
      <c r="AQ38" s="59"/>
      <c r="AR38" s="59"/>
      <c r="AS38" s="59"/>
      <c r="AT38" s="59"/>
      <c r="AU38" s="59"/>
      <c r="AV38" s="59"/>
      <c r="AW38" s="59"/>
      <c r="AX38" s="59"/>
      <c r="AY38" s="59"/>
      <c r="AZ38" s="59"/>
    </row>
    <row r="39" spans="1:52">
      <c r="A39" s="395" t="s">
        <v>219</v>
      </c>
      <c r="B39" s="277"/>
      <c r="C39" s="277">
        <f>'Q12-Infra'!C10</f>
        <v>0</v>
      </c>
      <c r="D39" s="277">
        <f>'Q12-Infra'!D10</f>
        <v>0</v>
      </c>
      <c r="E39" s="277">
        <f>'Q12-Infra'!E10</f>
        <v>0</v>
      </c>
      <c r="F39" s="277">
        <f>'Q12-Infra'!F10</f>
        <v>0</v>
      </c>
      <c r="G39" s="277">
        <f>'Q12-Infra'!G10</f>
        <v>0</v>
      </c>
      <c r="H39" s="277">
        <f>'Q12-Infra'!H10</f>
        <v>0</v>
      </c>
      <c r="I39" s="277">
        <f>'Q12-Infra'!I10</f>
        <v>0</v>
      </c>
      <c r="J39" s="277">
        <f>'Q12-Infra'!J10</f>
        <v>0</v>
      </c>
      <c r="K39" s="277">
        <f>'Q12-Infra'!K10</f>
        <v>0</v>
      </c>
      <c r="L39" s="277">
        <f>'Q12-Infra'!L10</f>
        <v>0</v>
      </c>
      <c r="M39" s="277">
        <f>'Q12-Infra'!M10</f>
        <v>0</v>
      </c>
      <c r="N39" s="277">
        <f>'Q12-Infra'!N10</f>
        <v>0</v>
      </c>
      <c r="O39" s="277">
        <f>'Q12-Infra'!O10</f>
        <v>0</v>
      </c>
      <c r="P39" s="277">
        <f>'Q12-Infra'!P10</f>
        <v>0</v>
      </c>
      <c r="Q39" s="277">
        <f>'Q12-Infra'!Q10</f>
        <v>0</v>
      </c>
      <c r="R39" s="277">
        <f>'Q12-Infra'!R10</f>
        <v>0</v>
      </c>
      <c r="S39" s="277">
        <f>'Q12-Infra'!S10</f>
        <v>0</v>
      </c>
      <c r="T39" s="277">
        <f>'Q12-Infra'!T10</f>
        <v>0</v>
      </c>
      <c r="U39" s="277">
        <f>'Q12-Infra'!U10</f>
        <v>0</v>
      </c>
      <c r="V39" s="277">
        <f>'Q12-Infra'!V10</f>
        <v>0</v>
      </c>
      <c r="W39" s="294"/>
      <c r="X39" s="295"/>
      <c r="Y39" s="28"/>
      <c r="Z39" s="28"/>
      <c r="AA39" s="28"/>
      <c r="AB39" s="28"/>
      <c r="AC39" s="28"/>
      <c r="AD39" s="28"/>
      <c r="AE39" s="28"/>
      <c r="AF39" s="28"/>
      <c r="AG39" s="28"/>
      <c r="AH39" s="28"/>
      <c r="AI39" s="28"/>
      <c r="AJ39" s="28"/>
      <c r="AK39" s="28"/>
      <c r="AL39" s="28"/>
      <c r="AM39" s="28"/>
      <c r="AN39" s="28"/>
      <c r="AO39" s="28"/>
      <c r="AP39" s="28"/>
      <c r="AQ39" s="28"/>
      <c r="AR39" s="28"/>
      <c r="AS39" s="28"/>
      <c r="AT39" s="28"/>
      <c r="AU39" s="28"/>
      <c r="AV39" s="28"/>
      <c r="AW39" s="28"/>
      <c r="AX39" s="28"/>
      <c r="AY39" s="28"/>
      <c r="AZ39" s="28"/>
    </row>
    <row r="40" spans="1:52">
      <c r="A40" s="394" t="s">
        <v>101</v>
      </c>
      <c r="B40" s="277"/>
      <c r="C40" s="277"/>
      <c r="D40" s="277"/>
      <c r="E40" s="277"/>
      <c r="F40" s="277"/>
      <c r="G40" s="277"/>
      <c r="H40" s="277"/>
      <c r="I40" s="277"/>
      <c r="J40" s="277"/>
      <c r="K40" s="277"/>
      <c r="L40" s="277"/>
      <c r="M40" s="277"/>
      <c r="N40" s="277"/>
      <c r="O40" s="277"/>
      <c r="P40" s="277"/>
      <c r="Q40" s="277"/>
      <c r="R40" s="277"/>
      <c r="S40" s="277"/>
      <c r="T40" s="277"/>
      <c r="U40" s="277"/>
      <c r="V40" s="277"/>
      <c r="W40" s="341"/>
      <c r="X40" s="341"/>
      <c r="Y40" s="59"/>
      <c r="Z40" s="59"/>
      <c r="AA40" s="59"/>
      <c r="AB40" s="59"/>
      <c r="AC40" s="59"/>
      <c r="AD40" s="59"/>
      <c r="AE40" s="59"/>
      <c r="AF40" s="59"/>
      <c r="AG40" s="59"/>
      <c r="AH40" s="59"/>
      <c r="AI40" s="59"/>
      <c r="AJ40" s="59"/>
      <c r="AK40" s="59"/>
      <c r="AL40" s="59"/>
      <c r="AM40" s="59"/>
      <c r="AN40" s="59"/>
      <c r="AO40" s="59"/>
      <c r="AP40" s="59"/>
      <c r="AQ40" s="59"/>
      <c r="AR40" s="59"/>
      <c r="AS40" s="59"/>
      <c r="AT40" s="59"/>
      <c r="AU40" s="59"/>
      <c r="AV40" s="59"/>
      <c r="AW40" s="59"/>
      <c r="AX40" s="59"/>
      <c r="AY40" s="59"/>
      <c r="AZ40" s="59"/>
    </row>
    <row r="41" spans="1:52">
      <c r="A41" s="396" t="s">
        <v>284</v>
      </c>
      <c r="B41" s="277">
        <f>'Q8.b-Compra-Veíc. oper.'!B8</f>
        <v>7240447.6804069728</v>
      </c>
      <c r="C41" s="277">
        <f>'Q8.b-Compra-Veíc. oper.'!C8</f>
        <v>1897060.5276175474</v>
      </c>
      <c r="D41" s="277">
        <f>'Q8.b-Compra-Veíc. oper.'!D8</f>
        <v>1897060.5276175474</v>
      </c>
      <c r="E41" s="277">
        <f>'Q8.b-Compra-Veíc. oper.'!E8</f>
        <v>1897060.5276175474</v>
      </c>
      <c r="F41" s="277">
        <f>'Q8.b-Compra-Veíc. oper.'!F8</f>
        <v>1897060.5276175474</v>
      </c>
      <c r="G41" s="277">
        <f>'Q8.b-Compra-Veíc. oper.'!G8</f>
        <v>2529414.0368233966</v>
      </c>
      <c r="H41" s="277">
        <f>'Q8.b-Compra-Veíc. oper.'!H8</f>
        <v>1897060.5276175474</v>
      </c>
      <c r="I41" s="277">
        <f>'Q8.b-Compra-Veíc. oper.'!I8</f>
        <v>1897060.5276175474</v>
      </c>
      <c r="J41" s="277">
        <f>'Q8.b-Compra-Veíc. oper.'!J8</f>
        <v>1897060.5276175474</v>
      </c>
      <c r="K41" s="277">
        <f>'Q8.b-Compra-Veíc. oper.'!K8</f>
        <v>1897060.5276175474</v>
      </c>
      <c r="L41" s="277">
        <f>'Q8.b-Compra-Veíc. oper.'!L8</f>
        <v>1264707.0184116983</v>
      </c>
      <c r="M41" s="277">
        <f>'Q8.b-Compra-Veíc. oper.'!M8</f>
        <v>1897060.5276175474</v>
      </c>
      <c r="N41" s="277">
        <f>'Q8.b-Compra-Veíc. oper.'!N8</f>
        <v>1897060.5276175474</v>
      </c>
      <c r="O41" s="277">
        <f>'Q8.b-Compra-Veíc. oper.'!O8</f>
        <v>1897060.5276175474</v>
      </c>
      <c r="P41" s="277">
        <f>'Q8.b-Compra-Veíc. oper.'!P8</f>
        <v>1897060.5276175474</v>
      </c>
      <c r="Q41" s="277">
        <f>'Q8.b-Compra-Veíc. oper.'!Q8</f>
        <v>2529414.0368233966</v>
      </c>
      <c r="R41" s="277">
        <f>'Q8.b-Compra-Veíc. oper.'!R8</f>
        <v>1897060.5276175474</v>
      </c>
      <c r="S41" s="277">
        <f>'Q8.b-Compra-Veíc. oper.'!S8</f>
        <v>1897060.5276175474</v>
      </c>
      <c r="T41" s="277">
        <f>'Q8.b-Compra-Veíc. oper.'!T8</f>
        <v>1897060.5276175474</v>
      </c>
      <c r="U41" s="277">
        <f>'Q8.b-Compra-Veíc. oper.'!U8</f>
        <v>1897060.5276175474</v>
      </c>
      <c r="V41" s="277">
        <f>'Q8.b-Compra-Veíc. oper.'!V8</f>
        <v>0</v>
      </c>
      <c r="W41" s="294"/>
      <c r="X41" s="295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  <c r="AL41" s="28"/>
      <c r="AM41" s="28"/>
      <c r="AN41" s="28"/>
      <c r="AO41" s="28"/>
      <c r="AP41" s="28"/>
      <c r="AQ41" s="28"/>
      <c r="AR41" s="28"/>
      <c r="AS41" s="28"/>
      <c r="AT41" s="28"/>
      <c r="AU41" s="28"/>
      <c r="AV41" s="28"/>
      <c r="AW41" s="28"/>
      <c r="AX41" s="28"/>
      <c r="AY41" s="28"/>
      <c r="AZ41" s="28"/>
    </row>
    <row r="42" spans="1:52">
      <c r="A42" s="395" t="s">
        <v>202</v>
      </c>
      <c r="B42" s="277">
        <f>'Q11-Garagens'!B11+'Q11-Garagens'!B12+'Q11-Garagens'!B13+'Q11-Garagens'!B17</f>
        <v>3083988.5264012213</v>
      </c>
      <c r="C42" s="277">
        <f>'Q11-Garagens'!C11+'Q11-Garagens'!C12</f>
        <v>0</v>
      </c>
      <c r="D42" s="277">
        <f>'Q11-Garagens'!D11+'Q11-Garagens'!D12</f>
        <v>0</v>
      </c>
      <c r="E42" s="277">
        <f>'Q11-Garagens'!E11+'Q11-Garagens'!E12</f>
        <v>0</v>
      </c>
      <c r="F42" s="277">
        <f>'Q11-Garagens'!F11+'Q11-Garagens'!F12</f>
        <v>0</v>
      </c>
      <c r="G42" s="277">
        <f>'Q11-Garagens'!G11+'Q11-Garagens'!G12</f>
        <v>0</v>
      </c>
      <c r="H42" s="277">
        <f>'Q11-Garagens'!H11+'Q11-Garagens'!H12</f>
        <v>76450.479168000005</v>
      </c>
      <c r="I42" s="277">
        <f>'Q11-Garagens'!I11+'Q11-Garagens'!I12</f>
        <v>0</v>
      </c>
      <c r="J42" s="277">
        <f>'Q11-Garagens'!J11+'Q11-Garagens'!J12</f>
        <v>0</v>
      </c>
      <c r="K42" s="277">
        <f>'Q11-Garagens'!K11+'Q11-Garagens'!K12</f>
        <v>0</v>
      </c>
      <c r="L42" s="277">
        <f>'Q11-Garagens'!L11+'Q11-Garagens'!L12</f>
        <v>0</v>
      </c>
      <c r="M42" s="277">
        <f>'Q11-Garagens'!M11+'Q11-Garagens'!M12</f>
        <v>0</v>
      </c>
      <c r="N42" s="277">
        <f>'Q11-Garagens'!N11+'Q11-Garagens'!N12</f>
        <v>76450.479168000005</v>
      </c>
      <c r="O42" s="277">
        <f>'Q11-Garagens'!O11+'Q11-Garagens'!O12</f>
        <v>0</v>
      </c>
      <c r="P42" s="277">
        <f>'Q11-Garagens'!P11+'Q11-Garagens'!P12</f>
        <v>0</v>
      </c>
      <c r="Q42" s="277">
        <f>'Q11-Garagens'!Q11+'Q11-Garagens'!Q12</f>
        <v>0</v>
      </c>
      <c r="R42" s="277">
        <f>'Q11-Garagens'!R11+'Q11-Garagens'!R12</f>
        <v>0</v>
      </c>
      <c r="S42" s="277">
        <f>'Q11-Garagens'!S11+'Q11-Garagens'!S12</f>
        <v>0</v>
      </c>
      <c r="T42" s="277">
        <f>'Q11-Garagens'!T11+'Q11-Garagens'!T12</f>
        <v>76450.479168000005</v>
      </c>
      <c r="U42" s="277">
        <f>'Q11-Garagens'!U11+'Q11-Garagens'!U12</f>
        <v>0</v>
      </c>
      <c r="V42" s="277">
        <f>'Q11-Garagens'!V11+'Q11-Garagens'!V12</f>
        <v>0</v>
      </c>
      <c r="W42" s="294"/>
      <c r="X42" s="295"/>
      <c r="Y42" s="28"/>
      <c r="Z42" s="28"/>
      <c r="AA42" s="28"/>
      <c r="AB42" s="28"/>
      <c r="AC42" s="28"/>
      <c r="AD42" s="28"/>
      <c r="AE42" s="28"/>
      <c r="AF42" s="28"/>
      <c r="AG42" s="28"/>
      <c r="AH42" s="28"/>
      <c r="AI42" s="28"/>
      <c r="AJ42" s="28"/>
      <c r="AK42" s="28"/>
      <c r="AL42" s="28"/>
      <c r="AM42" s="28"/>
      <c r="AN42" s="28"/>
      <c r="AO42" s="28"/>
      <c r="AP42" s="28"/>
      <c r="AQ42" s="28"/>
      <c r="AR42" s="28"/>
      <c r="AS42" s="28"/>
      <c r="AT42" s="28"/>
      <c r="AU42" s="28"/>
      <c r="AV42" s="28"/>
      <c r="AW42" s="28"/>
      <c r="AX42" s="28"/>
      <c r="AY42" s="28"/>
      <c r="AZ42" s="28"/>
    </row>
    <row r="43" spans="1:52">
      <c r="A43" s="395" t="s">
        <v>40</v>
      </c>
      <c r="B43" s="277">
        <f>'Q5. Sistemas'!B11++'Q5. Sistemas'!B12</f>
        <v>468600</v>
      </c>
      <c r="C43" s="277">
        <f>'Q5. Sistemas'!C11++'Q5. Sistemas'!C12</f>
        <v>0</v>
      </c>
      <c r="D43" s="277">
        <f>'Q5. Sistemas'!D11++'Q5. Sistemas'!D12</f>
        <v>0</v>
      </c>
      <c r="E43" s="277">
        <f>'Q5. Sistemas'!E11++'Q5. Sistemas'!E12</f>
        <v>0</v>
      </c>
      <c r="F43" s="277">
        <f>'Q5. Sistemas'!F11++'Q5. Sistemas'!F12</f>
        <v>0</v>
      </c>
      <c r="G43" s="277">
        <f>'Q5. Sistemas'!G11++'Q5. Sistemas'!G12</f>
        <v>0</v>
      </c>
      <c r="H43" s="277">
        <f>'Q5. Sistemas'!H11++'Q5. Sistemas'!H12</f>
        <v>468600</v>
      </c>
      <c r="I43" s="277">
        <f>'Q5. Sistemas'!I11++'Q5. Sistemas'!I12</f>
        <v>0</v>
      </c>
      <c r="J43" s="277">
        <f>'Q5. Sistemas'!J11++'Q5. Sistemas'!J12</f>
        <v>0</v>
      </c>
      <c r="K43" s="277">
        <f>'Q5. Sistemas'!K11++'Q5. Sistemas'!K12</f>
        <v>0</v>
      </c>
      <c r="L43" s="277">
        <f>'Q5. Sistemas'!L11++'Q5. Sistemas'!L12</f>
        <v>0</v>
      </c>
      <c r="M43" s="277">
        <f>'Q5. Sistemas'!M11++'Q5. Sistemas'!M12</f>
        <v>468600</v>
      </c>
      <c r="N43" s="277">
        <f>'Q5. Sistemas'!N11++'Q5. Sistemas'!N12</f>
        <v>0</v>
      </c>
      <c r="O43" s="277">
        <f>'Q5. Sistemas'!O11++'Q5. Sistemas'!O12</f>
        <v>0</v>
      </c>
      <c r="P43" s="277">
        <f>'Q5. Sistemas'!P11++'Q5. Sistemas'!P12</f>
        <v>0</v>
      </c>
      <c r="Q43" s="277">
        <f>'Q5. Sistemas'!Q11++'Q5. Sistemas'!Q12</f>
        <v>0</v>
      </c>
      <c r="R43" s="277">
        <f>'Q5. Sistemas'!R11++'Q5. Sistemas'!R12</f>
        <v>468600</v>
      </c>
      <c r="S43" s="277">
        <f>'Q5. Sistemas'!S11++'Q5. Sistemas'!S12</f>
        <v>0</v>
      </c>
      <c r="T43" s="277">
        <f>'Q5. Sistemas'!T11++'Q5. Sistemas'!T12</f>
        <v>0</v>
      </c>
      <c r="U43" s="277">
        <f>'Q5. Sistemas'!U11++'Q5. Sistemas'!U12</f>
        <v>0</v>
      </c>
      <c r="V43" s="277">
        <f>'Q5. Sistemas'!V11++'Q5. Sistemas'!V12</f>
        <v>0</v>
      </c>
      <c r="W43" s="294"/>
      <c r="X43" s="295"/>
      <c r="Y43" s="28"/>
      <c r="Z43" s="28"/>
      <c r="AA43" s="28"/>
      <c r="AB43" s="28"/>
      <c r="AC43" s="28"/>
      <c r="AD43" s="28"/>
      <c r="AE43" s="28"/>
      <c r="AF43" s="28"/>
      <c r="AG43" s="28"/>
      <c r="AH43" s="28"/>
      <c r="AI43" s="28"/>
      <c r="AJ43" s="28"/>
      <c r="AK43" s="28"/>
      <c r="AL43" s="28"/>
      <c r="AM43" s="28"/>
      <c r="AN43" s="28"/>
      <c r="AO43" s="28"/>
      <c r="AP43" s="28"/>
      <c r="AQ43" s="59"/>
      <c r="AR43" s="59"/>
      <c r="AS43" s="59"/>
      <c r="AT43" s="59"/>
      <c r="AU43" s="59"/>
      <c r="AV43" s="28"/>
      <c r="AW43" s="28"/>
      <c r="AX43" s="28"/>
      <c r="AY43" s="28"/>
      <c r="AZ43" s="28"/>
    </row>
    <row r="44" spans="1:52">
      <c r="A44" s="395" t="s">
        <v>211</v>
      </c>
      <c r="B44" s="277">
        <f>'Q10.b-Compra-Outros Veíc.'!B8</f>
        <v>70000</v>
      </c>
      <c r="C44" s="277">
        <f>'Q10.b-Compra-Outros Veíc.'!C8</f>
        <v>0</v>
      </c>
      <c r="D44" s="277">
        <f>'Q10.b-Compra-Outros Veíc.'!D8</f>
        <v>0</v>
      </c>
      <c r="E44" s="277">
        <f>'Q10.b-Compra-Outros Veíc.'!E8</f>
        <v>0</v>
      </c>
      <c r="F44" s="277">
        <f>'Q10.b-Compra-Outros Veíc.'!F8</f>
        <v>0</v>
      </c>
      <c r="G44" s="277">
        <f>'Q10.b-Compra-Outros Veíc.'!G8</f>
        <v>70000</v>
      </c>
      <c r="H44" s="277">
        <f>'Q10.b-Compra-Outros Veíc.'!H8</f>
        <v>0</v>
      </c>
      <c r="I44" s="277">
        <f>'Q10.b-Compra-Outros Veíc.'!I8</f>
        <v>0</v>
      </c>
      <c r="J44" s="277">
        <f>'Q10.b-Compra-Outros Veíc.'!J8</f>
        <v>0</v>
      </c>
      <c r="K44" s="277">
        <f>'Q10.b-Compra-Outros Veíc.'!K8</f>
        <v>0</v>
      </c>
      <c r="L44" s="277">
        <f>'Q10.b-Compra-Outros Veíc.'!L8</f>
        <v>70000</v>
      </c>
      <c r="M44" s="277">
        <f>'Q10.b-Compra-Outros Veíc.'!M8</f>
        <v>0</v>
      </c>
      <c r="N44" s="277">
        <f>'Q10.b-Compra-Outros Veíc.'!N8</f>
        <v>0</v>
      </c>
      <c r="O44" s="277">
        <f>'Q10.b-Compra-Outros Veíc.'!O8</f>
        <v>0</v>
      </c>
      <c r="P44" s="277">
        <f>'Q10.b-Compra-Outros Veíc.'!P8</f>
        <v>0</v>
      </c>
      <c r="Q44" s="277">
        <f>'Q10.b-Compra-Outros Veíc.'!Q8</f>
        <v>70000</v>
      </c>
      <c r="R44" s="277">
        <f>'Q10.b-Compra-Outros Veíc.'!R8</f>
        <v>0</v>
      </c>
      <c r="S44" s="277">
        <f>'Q10.b-Compra-Outros Veíc.'!S8</f>
        <v>0</v>
      </c>
      <c r="T44" s="277">
        <f>'Q10.b-Compra-Outros Veíc.'!T8</f>
        <v>0</v>
      </c>
      <c r="U44" s="277">
        <f>'Q10.b-Compra-Outros Veíc.'!U8</f>
        <v>0</v>
      </c>
      <c r="V44" s="277">
        <f>'Q10.b-Compra-Outros Veíc.'!V8</f>
        <v>0</v>
      </c>
      <c r="W44" s="294"/>
      <c r="X44" s="295"/>
      <c r="Y44" s="28"/>
      <c r="Z44" s="28"/>
      <c r="AA44" s="28"/>
      <c r="AB44" s="28"/>
      <c r="AC44" s="28"/>
      <c r="AD44" s="28"/>
      <c r="AE44" s="28"/>
      <c r="AF44" s="28"/>
      <c r="AG44" s="28"/>
      <c r="AH44" s="28"/>
      <c r="AI44" s="28"/>
      <c r="AJ44" s="28"/>
      <c r="AK44" s="28"/>
      <c r="AL44" s="28"/>
      <c r="AM44" s="28"/>
      <c r="AN44" s="28"/>
      <c r="AO44" s="28"/>
      <c r="AP44" s="28"/>
      <c r="AQ44" s="28"/>
      <c r="AR44" s="28"/>
      <c r="AS44" s="28"/>
      <c r="AT44" s="28"/>
      <c r="AU44" s="28"/>
      <c r="AV44" s="28"/>
      <c r="AW44" s="28"/>
      <c r="AX44" s="28"/>
      <c r="AY44" s="28"/>
      <c r="AZ44" s="28"/>
    </row>
    <row r="45" spans="1:52">
      <c r="A45" s="62"/>
      <c r="B45" s="341"/>
      <c r="C45" s="341"/>
      <c r="D45" s="341"/>
      <c r="E45" s="341"/>
      <c r="F45" s="341"/>
      <c r="G45" s="341"/>
      <c r="H45" s="341"/>
      <c r="I45" s="341"/>
      <c r="J45" s="341"/>
      <c r="K45" s="341"/>
      <c r="L45" s="341"/>
      <c r="M45" s="341"/>
      <c r="N45" s="341"/>
      <c r="O45" s="341"/>
      <c r="P45" s="341"/>
      <c r="Q45" s="341"/>
      <c r="R45" s="341"/>
      <c r="S45" s="341"/>
      <c r="T45" s="341"/>
      <c r="U45" s="341"/>
      <c r="V45" s="341"/>
      <c r="W45" s="294"/>
      <c r="X45" s="341"/>
      <c r="Y45" s="59"/>
      <c r="Z45" s="59"/>
      <c r="AA45" s="59"/>
      <c r="AB45" s="59"/>
      <c r="AC45" s="59"/>
      <c r="AD45" s="59"/>
      <c r="AE45" s="59"/>
      <c r="AF45" s="59"/>
      <c r="AG45" s="59"/>
      <c r="AH45" s="59"/>
      <c r="AI45" s="59"/>
      <c r="AJ45" s="59"/>
      <c r="AK45" s="59"/>
      <c r="AL45" s="59"/>
      <c r="AM45" s="59"/>
      <c r="AN45" s="59"/>
      <c r="AO45" s="59"/>
      <c r="AP45" s="59"/>
      <c r="AQ45" s="28"/>
      <c r="AR45" s="28"/>
      <c r="AS45" s="28"/>
      <c r="AT45" s="28"/>
      <c r="AU45" s="28"/>
      <c r="AV45" s="28"/>
      <c r="AW45" s="28"/>
      <c r="AX45" s="28"/>
      <c r="AY45" s="28"/>
      <c r="AZ45" s="28"/>
    </row>
    <row r="46" spans="1:52">
      <c r="A46" s="64" t="s">
        <v>131</v>
      </c>
      <c r="B46" s="100">
        <f>B27-B37</f>
        <v>-10893036.206808195</v>
      </c>
      <c r="C46" s="100">
        <f t="shared" ref="C46:V46" si="16">C27-C37</f>
        <v>1118147.2853843372</v>
      </c>
      <c r="D46" s="100">
        <f t="shared" si="16"/>
        <v>1118147.2853843372</v>
      </c>
      <c r="E46" s="100">
        <f t="shared" si="16"/>
        <v>1118147.2853843372</v>
      </c>
      <c r="F46" s="100">
        <f t="shared" si="16"/>
        <v>1118147.2853843372</v>
      </c>
      <c r="G46" s="100">
        <f t="shared" si="16"/>
        <v>496189.12709907303</v>
      </c>
      <c r="H46" s="100">
        <f t="shared" si="16"/>
        <v>573096.80621633725</v>
      </c>
      <c r="I46" s="100">
        <f t="shared" si="16"/>
        <v>1118147.2853843372</v>
      </c>
      <c r="J46" s="100">
        <f t="shared" si="16"/>
        <v>1118147.2853843372</v>
      </c>
      <c r="K46" s="100">
        <f t="shared" si="16"/>
        <v>1118147.2853843372</v>
      </c>
      <c r="L46" s="100">
        <f t="shared" si="16"/>
        <v>1634425.4436696018</v>
      </c>
      <c r="M46" s="100">
        <f t="shared" si="16"/>
        <v>649547.28538433695</v>
      </c>
      <c r="N46" s="100">
        <f t="shared" si="16"/>
        <v>1041696.8062163373</v>
      </c>
      <c r="O46" s="100">
        <f t="shared" si="16"/>
        <v>1118147.2853843372</v>
      </c>
      <c r="P46" s="100">
        <f t="shared" si="16"/>
        <v>1118147.2853843372</v>
      </c>
      <c r="Q46" s="100">
        <f t="shared" si="16"/>
        <v>496189.12709907303</v>
      </c>
      <c r="R46" s="100">
        <f t="shared" si="16"/>
        <v>649547.28538433695</v>
      </c>
      <c r="S46" s="100">
        <f t="shared" si="16"/>
        <v>1118147.2853843372</v>
      </c>
      <c r="T46" s="100">
        <f t="shared" si="16"/>
        <v>1041696.8062163373</v>
      </c>
      <c r="U46" s="100">
        <f t="shared" si="16"/>
        <v>1118147.2853843372</v>
      </c>
      <c r="V46" s="100">
        <f t="shared" si="16"/>
        <v>10706650.478252575</v>
      </c>
      <c r="W46" s="341"/>
      <c r="X46" s="341"/>
      <c r="Y46" s="59"/>
      <c r="Z46" s="59"/>
      <c r="AA46" s="59"/>
      <c r="AB46" s="59"/>
      <c r="AC46" s="59"/>
      <c r="AD46" s="59"/>
      <c r="AE46" s="59"/>
      <c r="AF46" s="59"/>
      <c r="AG46" s="59"/>
      <c r="AH46" s="59"/>
      <c r="AI46" s="59"/>
      <c r="AJ46" s="59"/>
      <c r="AK46" s="59"/>
      <c r="AL46" s="59"/>
      <c r="AM46" s="59"/>
      <c r="AN46" s="59"/>
      <c r="AO46" s="59"/>
      <c r="AP46" s="59"/>
      <c r="AQ46" s="28"/>
      <c r="AR46" s="28"/>
      <c r="AS46" s="28"/>
      <c r="AT46" s="28"/>
      <c r="AU46" s="28"/>
      <c r="AV46" s="28"/>
      <c r="AW46" s="28"/>
      <c r="AX46" s="28"/>
      <c r="AY46" s="28"/>
      <c r="AZ46" s="28"/>
    </row>
    <row r="47" spans="1:52">
      <c r="A47" s="62"/>
      <c r="B47" s="341"/>
      <c r="C47" s="341"/>
      <c r="D47" s="341"/>
      <c r="E47" s="341"/>
      <c r="F47" s="341"/>
      <c r="G47" s="341"/>
      <c r="H47" s="341"/>
      <c r="I47" s="341"/>
      <c r="J47" s="341"/>
      <c r="K47" s="341"/>
      <c r="L47" s="341"/>
      <c r="M47" s="341"/>
      <c r="N47" s="341"/>
      <c r="O47" s="341"/>
      <c r="P47" s="341"/>
      <c r="Q47" s="341"/>
      <c r="R47" s="341"/>
      <c r="S47" s="341"/>
      <c r="T47" s="341"/>
      <c r="U47" s="341"/>
      <c r="V47" s="341"/>
      <c r="W47" s="341"/>
      <c r="X47" s="341"/>
      <c r="Y47" s="59"/>
      <c r="Z47" s="59"/>
      <c r="AA47" s="59"/>
      <c r="AB47" s="59"/>
      <c r="AC47" s="59"/>
      <c r="AD47" s="59"/>
      <c r="AE47" s="59"/>
      <c r="AF47" s="59"/>
      <c r="AG47" s="59"/>
      <c r="AH47" s="59"/>
      <c r="AI47" s="59"/>
      <c r="AJ47" s="59"/>
      <c r="AK47" s="59"/>
      <c r="AL47" s="59"/>
      <c r="AM47" s="59"/>
      <c r="AN47" s="59"/>
      <c r="AO47" s="59"/>
      <c r="AP47" s="59"/>
      <c r="AQ47" s="28"/>
      <c r="AR47" s="28"/>
      <c r="AS47" s="28"/>
      <c r="AT47" s="28"/>
      <c r="AU47" s="28"/>
      <c r="AV47" s="28"/>
      <c r="AW47" s="28"/>
      <c r="AX47" s="28"/>
      <c r="AY47" s="28"/>
      <c r="AZ47" s="28"/>
    </row>
    <row r="48" spans="1:52">
      <c r="A48" s="359" t="s">
        <v>23</v>
      </c>
      <c r="B48" s="65">
        <f>IRR(B46:V46)</f>
        <v>9.0000000000000302E-2</v>
      </c>
      <c r="C48" s="270"/>
      <c r="D48" s="294"/>
      <c r="E48" s="270"/>
      <c r="F48" s="270"/>
      <c r="G48" s="270"/>
      <c r="H48" s="270"/>
      <c r="I48" s="270"/>
      <c r="J48" s="270"/>
      <c r="K48" s="270"/>
      <c r="L48" s="270"/>
      <c r="M48" s="270"/>
      <c r="N48" s="270"/>
      <c r="O48" s="270"/>
      <c r="P48" s="270"/>
      <c r="Q48" s="270"/>
      <c r="R48" s="270"/>
      <c r="S48" s="270"/>
      <c r="T48" s="270"/>
      <c r="U48" s="270"/>
      <c r="V48" s="270"/>
      <c r="W48" s="270"/>
      <c r="X48" s="270"/>
    </row>
    <row r="49" spans="1:24">
      <c r="A49" s="359" t="s">
        <v>164</v>
      </c>
      <c r="B49" s="100">
        <f>MAX(C54:V54)</f>
        <v>11</v>
      </c>
      <c r="C49" s="270"/>
      <c r="D49" s="270"/>
      <c r="E49" s="270"/>
      <c r="F49" s="270"/>
      <c r="G49" s="270"/>
      <c r="H49" s="270"/>
      <c r="I49" s="270"/>
      <c r="J49" s="270"/>
      <c r="K49" s="270"/>
      <c r="L49" s="270"/>
      <c r="M49" s="270"/>
      <c r="N49" s="270"/>
      <c r="O49" s="270"/>
      <c r="P49" s="270"/>
      <c r="Q49" s="270"/>
      <c r="R49" s="270"/>
      <c r="S49" s="270"/>
      <c r="T49" s="270"/>
      <c r="U49" s="270"/>
      <c r="V49" s="270"/>
      <c r="W49" s="270"/>
      <c r="X49" s="270"/>
    </row>
    <row r="50" spans="1:24">
      <c r="A50" s="359" t="s">
        <v>215</v>
      </c>
      <c r="B50" s="65">
        <v>0.09</v>
      </c>
      <c r="C50" s="270"/>
      <c r="D50" s="270"/>
      <c r="E50" s="270"/>
      <c r="F50" s="270"/>
      <c r="G50" s="270"/>
      <c r="H50" s="270"/>
      <c r="I50" s="270"/>
      <c r="J50" s="270"/>
      <c r="K50" s="270"/>
      <c r="L50" s="270"/>
      <c r="M50" s="270"/>
      <c r="N50" s="270"/>
      <c r="O50" s="270"/>
      <c r="P50" s="270"/>
      <c r="Q50" s="270"/>
      <c r="R50" s="270"/>
      <c r="S50" s="270"/>
      <c r="T50" s="270"/>
      <c r="U50" s="270"/>
      <c r="V50" s="270"/>
      <c r="W50" s="270"/>
      <c r="X50" s="270"/>
    </row>
    <row r="51" spans="1:24">
      <c r="A51" s="359" t="s">
        <v>220</v>
      </c>
      <c r="B51" s="397">
        <f>NPV(B50,B46:V46)</f>
        <v>2.456470093595872E-8</v>
      </c>
      <c r="C51" s="270"/>
      <c r="D51" s="270"/>
      <c r="E51" s="270"/>
      <c r="F51" s="270"/>
      <c r="G51" s="270"/>
      <c r="H51" s="270"/>
      <c r="I51" s="270"/>
      <c r="J51" s="270"/>
      <c r="K51" s="270"/>
      <c r="L51" s="270"/>
      <c r="M51" s="270"/>
      <c r="N51" s="270"/>
      <c r="O51" s="270"/>
      <c r="P51" s="270"/>
      <c r="Q51" s="270"/>
      <c r="R51" s="270"/>
      <c r="S51" s="270"/>
      <c r="T51" s="270"/>
      <c r="U51" s="270"/>
      <c r="V51" s="270"/>
      <c r="W51" s="270"/>
      <c r="X51" s="270"/>
    </row>
    <row r="52" spans="1:24">
      <c r="A52" s="285"/>
      <c r="B52" s="398"/>
      <c r="C52" s="270"/>
      <c r="D52" s="270"/>
      <c r="E52" s="270"/>
      <c r="F52" s="270"/>
      <c r="G52" s="270"/>
      <c r="H52" s="270"/>
      <c r="I52" s="270"/>
      <c r="J52" s="270"/>
      <c r="K52" s="270"/>
      <c r="L52" s="270"/>
      <c r="M52" s="270"/>
      <c r="N52" s="270"/>
      <c r="O52" s="270"/>
      <c r="P52" s="270"/>
      <c r="Q52" s="270"/>
      <c r="R52" s="270"/>
      <c r="S52" s="270"/>
      <c r="T52" s="270"/>
      <c r="U52" s="270"/>
      <c r="V52" s="270"/>
      <c r="W52" s="270"/>
      <c r="X52" s="270"/>
    </row>
    <row r="53" spans="1:24">
      <c r="A53" s="359" t="s">
        <v>163</v>
      </c>
      <c r="B53" s="267">
        <f>B46</f>
        <v>-10893036.206808195</v>
      </c>
      <c r="C53" s="267">
        <f>B53+C46</f>
        <v>-9774888.921423858</v>
      </c>
      <c r="D53" s="267">
        <f t="shared" ref="D53:V53" si="17">C53+D46</f>
        <v>-8656741.6360395215</v>
      </c>
      <c r="E53" s="267">
        <f t="shared" si="17"/>
        <v>-7538594.3506551841</v>
      </c>
      <c r="F53" s="267">
        <f t="shared" si="17"/>
        <v>-6420447.0652708467</v>
      </c>
      <c r="G53" s="267">
        <f t="shared" si="17"/>
        <v>-5924257.9381717741</v>
      </c>
      <c r="H53" s="267">
        <f t="shared" si="17"/>
        <v>-5351161.1319554374</v>
      </c>
      <c r="I53" s="267">
        <f t="shared" si="17"/>
        <v>-4233013.8465710999</v>
      </c>
      <c r="J53" s="267">
        <f t="shared" si="17"/>
        <v>-3114866.5611867625</v>
      </c>
      <c r="K53" s="267">
        <f t="shared" si="17"/>
        <v>-1996719.2758024253</v>
      </c>
      <c r="L53" s="267">
        <f t="shared" si="17"/>
        <v>-362293.83213282353</v>
      </c>
      <c r="M53" s="267">
        <f t="shared" si="17"/>
        <v>287253.45325151342</v>
      </c>
      <c r="N53" s="267">
        <f t="shared" si="17"/>
        <v>1328950.2594678507</v>
      </c>
      <c r="O53" s="267">
        <f t="shared" si="17"/>
        <v>2447097.5448521879</v>
      </c>
      <c r="P53" s="267">
        <f t="shared" si="17"/>
        <v>3565244.8302365253</v>
      </c>
      <c r="Q53" s="267">
        <f t="shared" si="17"/>
        <v>4061433.9573355983</v>
      </c>
      <c r="R53" s="267">
        <f t="shared" si="17"/>
        <v>4710981.2427199353</v>
      </c>
      <c r="S53" s="267">
        <f t="shared" si="17"/>
        <v>5829128.5281042727</v>
      </c>
      <c r="T53" s="267">
        <f t="shared" si="17"/>
        <v>6870825.3343206104</v>
      </c>
      <c r="U53" s="267">
        <f t="shared" si="17"/>
        <v>7988972.6197049478</v>
      </c>
      <c r="V53" s="267">
        <f t="shared" si="17"/>
        <v>18695623.097957522</v>
      </c>
      <c r="W53" s="270"/>
      <c r="X53" s="270"/>
    </row>
    <row r="54" spans="1:24">
      <c r="A54" s="270"/>
      <c r="B54" s="398"/>
      <c r="C54" s="270">
        <f>IF(SUM($B54:B$54)&gt;0,0,IF(B53*C53&lt;0,C1,0))</f>
        <v>0</v>
      </c>
      <c r="D54" s="270">
        <f>IF(SUM($B54:C$54)&gt;0,0,IF(C53*D53&lt;0,D1,0))</f>
        <v>0</v>
      </c>
      <c r="E54" s="270">
        <f>IF(SUM($B54:D$54)&gt;0,0,IF(D53*E53&lt;0,E1,0))</f>
        <v>0</v>
      </c>
      <c r="F54" s="270">
        <f>IF(SUM($B54:E$54)&gt;0,0,IF(E53*F53&lt;0,F1,0))</f>
        <v>0</v>
      </c>
      <c r="G54" s="270">
        <f>IF(SUM($B54:F$54)&gt;0,0,IF(F53*G53&lt;0,G1,0))</f>
        <v>0</v>
      </c>
      <c r="H54" s="270">
        <f>IF(SUM($B54:G$54)&gt;0,0,IF(G53*H53&lt;0,H1,0))</f>
        <v>0</v>
      </c>
      <c r="I54" s="270">
        <f>IF(SUM($B54:H$54)&gt;0,0,IF(H53*I53&lt;0,I1,0))</f>
        <v>0</v>
      </c>
      <c r="J54" s="270">
        <f>IF(SUM($B54:I$54)&gt;0,0,IF(I53*J53&lt;0,J1,0))</f>
        <v>0</v>
      </c>
      <c r="K54" s="270">
        <f>IF(SUM($B54:J$54)&gt;0,0,IF(J53*K53&lt;0,K1,0))</f>
        <v>0</v>
      </c>
      <c r="L54" s="270">
        <f>IF(SUM($B54:K$54)&gt;0,0,IF(K53*L53&lt;0,L1,0))</f>
        <v>0</v>
      </c>
      <c r="M54" s="270">
        <f>IF(SUM($B54:L$54)&gt;0,0,IF(L53*M53&lt;0,M1,0))</f>
        <v>11</v>
      </c>
      <c r="N54" s="270">
        <f>IF(SUM($B54:M$54)&gt;0,0,IF(M53*N53&lt;0,N1,0))</f>
        <v>0</v>
      </c>
      <c r="O54" s="270">
        <f>IF(SUM($B54:N$54)&gt;0,0,IF(N53*O53&lt;0,O1,0))</f>
        <v>0</v>
      </c>
      <c r="P54" s="270">
        <f>IF(SUM($B54:O$54)&gt;0,0,IF(O53*P53&lt;0,P1,0))</f>
        <v>0</v>
      </c>
      <c r="Q54" s="270">
        <f>IF(SUM($B54:P$54)&gt;0,0,IF(P53*Q53&lt;0,Q1,0))</f>
        <v>0</v>
      </c>
      <c r="R54" s="270">
        <f>IF(SUM($B54:Q$54)&gt;0,0,IF(Q53*R53&lt;0,R1,0))</f>
        <v>0</v>
      </c>
      <c r="S54" s="270">
        <f>IF(SUM($B54:R$54)&gt;0,0,IF(R53*S53&lt;0,S1,0))</f>
        <v>0</v>
      </c>
      <c r="T54" s="270">
        <f>IF(SUM($B54:S$54)&gt;0,0,IF(S53*T53&lt;0,T1,0))</f>
        <v>0</v>
      </c>
      <c r="U54" s="270">
        <f>IF(SUM($B54:T$54)&gt;0,0,IF(T53*U53&lt;0,U1,0))</f>
        <v>0</v>
      </c>
      <c r="V54" s="270">
        <f>IF(SUM($B54:U$54)&gt;0,0,IF(U53*V53&lt;0,V1,0))</f>
        <v>0</v>
      </c>
      <c r="W54" s="270">
        <f>IF(SUM($B54:V$54)&gt;0,0,IF(V53*W53&lt;0,#REF!,0))</f>
        <v>0</v>
      </c>
      <c r="X54" s="270"/>
    </row>
    <row r="56" spans="1:24">
      <c r="D56" s="67"/>
      <c r="H56" s="70"/>
    </row>
    <row r="57" spans="1:24">
      <c r="A57" s="1" t="s">
        <v>53</v>
      </c>
      <c r="B57" s="438">
        <f>NPV(B50,B37:V37)</f>
        <v>26533682.109293681</v>
      </c>
      <c r="C57" s="438"/>
    </row>
    <row r="58" spans="1:24">
      <c r="B58" s="66"/>
    </row>
    <row r="59" spans="1:24">
      <c r="D59" s="67"/>
      <c r="F59" s="437"/>
      <c r="G59" s="437"/>
    </row>
    <row r="60" spans="1:24">
      <c r="D60" s="67"/>
    </row>
    <row r="61" spans="1:24">
      <c r="F61" s="71"/>
      <c r="G61" s="79"/>
    </row>
    <row r="62" spans="1:24">
      <c r="A62" s="3" t="s">
        <v>337</v>
      </c>
      <c r="F62" s="71"/>
      <c r="G62" s="79"/>
    </row>
    <row r="63" spans="1:24">
      <c r="A63" s="3" t="s">
        <v>339</v>
      </c>
      <c r="B63" s="80">
        <f>'Q3.C Variável'!G13</f>
        <v>3.3541690485934934</v>
      </c>
      <c r="C63" s="402">
        <f>ROUND(B63/$B$66,2)</f>
        <v>0.51</v>
      </c>
      <c r="E63" s="67"/>
    </row>
    <row r="64" spans="1:24">
      <c r="A64" s="3" t="s">
        <v>340</v>
      </c>
      <c r="B64" s="80">
        <f>'Q4.a-Custos Fixos'!I11/'Q2.Dados Operacionais'!D5</f>
        <v>2.0953772361336309</v>
      </c>
      <c r="C64" s="402">
        <f t="shared" ref="C64" si="18">ROUND(B64/$B$66,2)</f>
        <v>0.32</v>
      </c>
    </row>
    <row r="65" spans="1:7">
      <c r="A65" s="3" t="s">
        <v>341</v>
      </c>
      <c r="B65" s="80">
        <f>B66-B63-B64</f>
        <v>1.1597593073068984</v>
      </c>
      <c r="C65" s="402">
        <f>1-C63-C64</f>
        <v>0.16999999999999998</v>
      </c>
      <c r="D65" s="71"/>
      <c r="E65" s="67"/>
    </row>
    <row r="66" spans="1:7">
      <c r="A66" s="3" t="s">
        <v>338</v>
      </c>
      <c r="B66" s="80">
        <f>C3</f>
        <v>6.6093055920340227</v>
      </c>
      <c r="D66" s="71"/>
      <c r="E66" s="67"/>
    </row>
    <row r="67" spans="1:7">
      <c r="B67" s="80"/>
      <c r="C67" s="67"/>
      <c r="G67" s="67"/>
    </row>
  </sheetData>
  <sheetProtection algorithmName="SHA-512" hashValue="Sm9ntJVaJ+7rqhijdeUOtl7Y8xC7ZyZuPBMeEAzgb+QFrIpBvHWbb9DVJUu1q2F0UrZ0V8DnOu3tA8OCDinPTA==" saltValue="dcl6wP840+fkEi9DVo1e4Q==" spinCount="100000" sheet="1" objects="1" scenarios="1" selectLockedCells="1" selectUnlockedCells="1"/>
  <mergeCells count="2">
    <mergeCell ref="F59:G59"/>
    <mergeCell ref="B57:C57"/>
  </mergeCells>
  <phoneticPr fontId="6" type="noConversion"/>
  <conditionalFormatting sqref="B41:V44">
    <cfRule type="cellIs" dxfId="1" priority="4" operator="equal">
      <formula>0</formula>
    </cfRule>
  </conditionalFormatting>
  <conditionalFormatting sqref="C39:V39">
    <cfRule type="cellIs" dxfId="0" priority="3" operator="equal">
      <formula>0</formula>
    </cfRule>
  </conditionalFormatting>
  <pageMargins left="0.78740157480314965" right="0.78740157480314965" top="0.98425196850393704" bottom="0.98425196850393704" header="0.51181102362204722" footer="0.51181102362204722"/>
  <pageSetup paperSize="155" scale="56" fitToHeight="2" orientation="landscape" horizontalDpi="4294967293" verticalDpi="4294967293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7"/>
  <sheetViews>
    <sheetView topLeftCell="D1" zoomScale="145" zoomScaleNormal="145" workbookViewId="0">
      <selection activeCell="H15" sqref="H15"/>
    </sheetView>
  </sheetViews>
  <sheetFormatPr defaultRowHeight="12.75"/>
  <cols>
    <col min="1" max="3" width="0" hidden="1" customWidth="1"/>
    <col min="4" max="4" width="50.140625" bestFit="1" customWidth="1"/>
    <col min="5" max="5" width="12.7109375" style="72" bestFit="1" customWidth="1"/>
    <col min="6" max="6" width="11.7109375" customWidth="1"/>
  </cols>
  <sheetData>
    <row r="1" spans="2:6">
      <c r="C1">
        <f>C2/B2</f>
        <v>8.2974378290893505E-2</v>
      </c>
    </row>
    <row r="2" spans="2:6">
      <c r="B2">
        <f>E4/12</f>
        <v>266146.375</v>
      </c>
      <c r="C2">
        <v>22083.33</v>
      </c>
    </row>
    <row r="3" spans="2:6">
      <c r="E3" s="99" t="s">
        <v>288</v>
      </c>
    </row>
    <row r="4" spans="2:6">
      <c r="B4">
        <f>C4*1.2</f>
        <v>12775.026</v>
      </c>
      <c r="C4">
        <f>E4/12/25</f>
        <v>10645.855</v>
      </c>
      <c r="D4" s="57" t="s">
        <v>248</v>
      </c>
      <c r="E4" s="100">
        <f>'Q1.Pass. 2022'!H16</f>
        <v>3193756.5</v>
      </c>
    </row>
    <row r="5" spans="2:6">
      <c r="B5">
        <v>2000</v>
      </c>
      <c r="D5" s="57" t="s">
        <v>246</v>
      </c>
      <c r="E5" s="101">
        <f>'Q1.Pass. 2022'!B24/E4</f>
        <v>4.6530695749660316</v>
      </c>
    </row>
    <row r="6" spans="2:6">
      <c r="B6">
        <f>B5*25</f>
        <v>50000</v>
      </c>
      <c r="D6" s="57" t="s">
        <v>245</v>
      </c>
      <c r="E6" s="19">
        <f>E4*E5</f>
        <v>14860771.200000001</v>
      </c>
    </row>
    <row r="7" spans="2:6">
      <c r="B7">
        <f>B6*12</f>
        <v>600000</v>
      </c>
      <c r="D7" s="57" t="s">
        <v>247</v>
      </c>
      <c r="E7" s="19">
        <f>'Q15-FCD'!C5</f>
        <v>25739155.738769062</v>
      </c>
      <c r="F7" s="89"/>
    </row>
    <row r="8" spans="2:6">
      <c r="D8" s="57" t="s">
        <v>249</v>
      </c>
      <c r="E8" s="19">
        <f>E7-E6</f>
        <v>10878384.538769061</v>
      </c>
      <c r="F8" s="72"/>
    </row>
    <row r="9" spans="2:6">
      <c r="D9" s="57" t="s">
        <v>250</v>
      </c>
      <c r="E9" s="19">
        <f>E8/12</f>
        <v>906532.04489742173</v>
      </c>
    </row>
    <row r="10" spans="2:6">
      <c r="D10" s="57" t="s">
        <v>289</v>
      </c>
      <c r="E10" s="19">
        <f>'Q2.Dados Operacionais'!D13</f>
        <v>28</v>
      </c>
    </row>
    <row r="11" spans="2:6">
      <c r="D11" s="57" t="s">
        <v>290</v>
      </c>
      <c r="E11" s="19">
        <f>E7/12/E10</f>
        <v>76604.630174907928</v>
      </c>
    </row>
    <row r="12" spans="2:6">
      <c r="D12" s="57" t="s">
        <v>291</v>
      </c>
      <c r="E12" s="19">
        <f>'Q2.Dados Operacionais'!D14</f>
        <v>32</v>
      </c>
    </row>
    <row r="13" spans="2:6">
      <c r="D13" s="57" t="s">
        <v>292</v>
      </c>
      <c r="E13" s="19">
        <f>E7/12/E12</f>
        <v>67029.051403044432</v>
      </c>
    </row>
    <row r="14" spans="2:6">
      <c r="D14" s="57" t="s">
        <v>23</v>
      </c>
      <c r="E14" s="65">
        <f>'Q15-FCD'!B48</f>
        <v>9.0000000000000302E-2</v>
      </c>
    </row>
    <row r="15" spans="2:6">
      <c r="D15" s="57" t="s">
        <v>164</v>
      </c>
      <c r="E15" s="19">
        <f>'Q15-FCD'!B49</f>
        <v>11</v>
      </c>
    </row>
    <row r="16" spans="2:6">
      <c r="D16" s="57" t="s">
        <v>215</v>
      </c>
      <c r="E16" s="65">
        <f>'Q15-FCD'!B50</f>
        <v>0.09</v>
      </c>
    </row>
    <row r="17" spans="4:5">
      <c r="D17" s="57" t="s">
        <v>220</v>
      </c>
      <c r="E17" s="20">
        <f>'Q15-FCD'!B51</f>
        <v>2.456470093595872E-8</v>
      </c>
    </row>
  </sheetData>
  <sheetProtection algorithmName="SHA-512" hashValue="/LuaxIGV90HHrORAkbzr4WMq/VPvk6m+5W344xyAi7D7lqcA64D8LyvKJja4jWODvhYuRryzoh+Uk4SQU/WBpg==" saltValue="juWvKIn9+tOVjUHeNkvzPw==" spinCount="100000" sheet="1" objects="1" scenarios="1" selectLockedCells="1" selectUnlockedCells="1"/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U54"/>
  <sheetViews>
    <sheetView tabSelected="1" topLeftCell="A26" workbookViewId="0">
      <selection activeCell="N53" sqref="N53"/>
    </sheetView>
  </sheetViews>
  <sheetFormatPr defaultRowHeight="12.75"/>
  <cols>
    <col min="2" max="2" width="12.7109375" customWidth="1"/>
    <col min="3" max="5" width="5.7109375" customWidth="1"/>
    <col min="6" max="6" width="8.140625" customWidth="1"/>
    <col min="7" max="7" width="9.7109375" customWidth="1"/>
    <col min="8" max="8" width="8" customWidth="1"/>
    <col min="9" max="14" width="6.85546875" customWidth="1"/>
    <col min="15" max="17" width="7.28515625" bestFit="1" customWidth="1"/>
    <col min="18" max="18" width="18.85546875" bestFit="1" customWidth="1"/>
    <col min="20" max="20" width="7.28515625" bestFit="1" customWidth="1"/>
    <col min="21" max="21" width="7.85546875" customWidth="1"/>
  </cols>
  <sheetData>
    <row r="2" spans="2:21" ht="16.5" thickBot="1">
      <c r="B2" s="103" t="s">
        <v>293</v>
      </c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  <c r="U2" s="104"/>
    </row>
    <row r="3" spans="2:21" ht="12.75" customHeight="1">
      <c r="B3" s="473" t="s">
        <v>294</v>
      </c>
      <c r="C3" s="474"/>
      <c r="D3" s="474"/>
      <c r="E3" s="474"/>
      <c r="F3" s="474"/>
      <c r="G3" s="474"/>
      <c r="H3" s="474"/>
      <c r="I3" s="474"/>
      <c r="J3" s="474"/>
      <c r="K3" s="474"/>
      <c r="L3" s="474"/>
      <c r="M3" s="474"/>
      <c r="N3" s="474"/>
      <c r="O3" s="474"/>
      <c r="P3" s="474"/>
      <c r="Q3" s="474"/>
      <c r="R3" s="474"/>
      <c r="S3" s="474"/>
      <c r="T3" s="474"/>
      <c r="U3" s="475"/>
    </row>
    <row r="4" spans="2:21" ht="13.5" customHeight="1" thickBot="1">
      <c r="B4" s="494"/>
      <c r="C4" s="495"/>
      <c r="D4" s="477"/>
      <c r="E4" s="477"/>
      <c r="F4" s="477"/>
      <c r="G4" s="477"/>
      <c r="H4" s="477"/>
      <c r="I4" s="477"/>
      <c r="J4" s="477"/>
      <c r="K4" s="477"/>
      <c r="L4" s="495"/>
      <c r="M4" s="495"/>
      <c r="N4" s="495"/>
      <c r="O4" s="477"/>
      <c r="P4" s="477"/>
      <c r="Q4" s="477"/>
      <c r="R4" s="495"/>
      <c r="S4" s="495"/>
      <c r="T4" s="495"/>
      <c r="U4" s="496"/>
    </row>
    <row r="5" spans="2:21" ht="16.5" thickBot="1">
      <c r="B5" s="479" t="s">
        <v>295</v>
      </c>
      <c r="C5" s="482" t="s">
        <v>296</v>
      </c>
      <c r="D5" s="483"/>
      <c r="E5" s="484"/>
      <c r="F5" s="485" t="s">
        <v>297</v>
      </c>
      <c r="G5" s="486"/>
      <c r="H5" s="487"/>
      <c r="I5" s="485" t="s">
        <v>298</v>
      </c>
      <c r="J5" s="486"/>
      <c r="K5" s="487"/>
      <c r="L5" s="482" t="s">
        <v>299</v>
      </c>
      <c r="M5" s="483"/>
      <c r="N5" s="484"/>
      <c r="O5" s="488" t="s">
        <v>300</v>
      </c>
      <c r="P5" s="489"/>
      <c r="Q5" s="490"/>
      <c r="R5" s="258" t="s">
        <v>301</v>
      </c>
      <c r="S5" s="449" t="s">
        <v>302</v>
      </c>
      <c r="T5" s="450"/>
      <c r="U5" s="451"/>
    </row>
    <row r="6" spans="2:21" ht="12.75" customHeight="1">
      <c r="B6" s="480"/>
      <c r="C6" s="466" t="s">
        <v>303</v>
      </c>
      <c r="D6" s="445" t="s">
        <v>304</v>
      </c>
      <c r="E6" s="467" t="s">
        <v>305</v>
      </c>
      <c r="F6" s="445" t="s">
        <v>306</v>
      </c>
      <c r="G6" s="443" t="s">
        <v>307</v>
      </c>
      <c r="H6" s="441" t="s">
        <v>308</v>
      </c>
      <c r="I6" s="439" t="s">
        <v>303</v>
      </c>
      <c r="J6" s="470" t="s">
        <v>305</v>
      </c>
      <c r="K6" s="441" t="s">
        <v>13</v>
      </c>
      <c r="L6" s="455" t="s">
        <v>309</v>
      </c>
      <c r="M6" s="457" t="s">
        <v>310</v>
      </c>
      <c r="N6" s="459" t="s">
        <v>13</v>
      </c>
      <c r="O6" s="461" t="s">
        <v>309</v>
      </c>
      <c r="P6" s="447" t="s">
        <v>310</v>
      </c>
      <c r="Q6" s="463" t="s">
        <v>311</v>
      </c>
      <c r="R6" s="461" t="s">
        <v>312</v>
      </c>
      <c r="S6" s="461" t="s">
        <v>313</v>
      </c>
      <c r="T6" s="447" t="s">
        <v>314</v>
      </c>
      <c r="U6" s="453" t="s">
        <v>315</v>
      </c>
    </row>
    <row r="7" spans="2:21" ht="13.5" customHeight="1" thickBot="1">
      <c r="B7" s="493"/>
      <c r="C7" s="491"/>
      <c r="D7" s="446"/>
      <c r="E7" s="492"/>
      <c r="F7" s="446"/>
      <c r="G7" s="444"/>
      <c r="H7" s="442"/>
      <c r="I7" s="440"/>
      <c r="J7" s="471"/>
      <c r="K7" s="442"/>
      <c r="L7" s="456"/>
      <c r="M7" s="458"/>
      <c r="N7" s="460"/>
      <c r="O7" s="462"/>
      <c r="P7" s="452"/>
      <c r="Q7" s="464"/>
      <c r="R7" s="462"/>
      <c r="S7" s="462"/>
      <c r="T7" s="452"/>
      <c r="U7" s="454"/>
    </row>
    <row r="8" spans="2:21" ht="15.75">
      <c r="B8" s="254" t="s">
        <v>317</v>
      </c>
      <c r="C8" s="105">
        <v>9</v>
      </c>
      <c r="D8" s="106">
        <v>7</v>
      </c>
      <c r="E8" s="107">
        <v>9</v>
      </c>
      <c r="F8" s="108">
        <v>9</v>
      </c>
      <c r="G8" s="109">
        <v>0</v>
      </c>
      <c r="H8" s="110">
        <v>0</v>
      </c>
      <c r="I8" s="108">
        <v>9</v>
      </c>
      <c r="J8" s="111">
        <v>9</v>
      </c>
      <c r="K8" s="112">
        <v>18</v>
      </c>
      <c r="L8" s="113">
        <v>90</v>
      </c>
      <c r="M8" s="114">
        <v>93</v>
      </c>
      <c r="N8" s="115">
        <v>183</v>
      </c>
      <c r="O8" s="116">
        <v>21.2</v>
      </c>
      <c r="P8" s="117">
        <v>21.7</v>
      </c>
      <c r="Q8" s="118">
        <v>21.45</v>
      </c>
      <c r="R8" s="116">
        <v>3925.35</v>
      </c>
      <c r="S8" s="119">
        <v>5.4999999999999991</v>
      </c>
      <c r="T8" s="120">
        <v>1.4605758101851853</v>
      </c>
      <c r="U8" s="121">
        <v>6.9605758101851842</v>
      </c>
    </row>
    <row r="9" spans="2:21" ht="15.75">
      <c r="B9" s="255" t="s">
        <v>318</v>
      </c>
      <c r="C9" s="122">
        <v>3</v>
      </c>
      <c r="D9" s="123">
        <v>3</v>
      </c>
      <c r="E9" s="124">
        <v>3</v>
      </c>
      <c r="F9" s="125">
        <v>3</v>
      </c>
      <c r="G9" s="126">
        <v>0</v>
      </c>
      <c r="H9" s="127">
        <v>0</v>
      </c>
      <c r="I9" s="125">
        <v>3</v>
      </c>
      <c r="J9" s="111">
        <v>3</v>
      </c>
      <c r="K9" s="128">
        <v>6</v>
      </c>
      <c r="L9" s="129">
        <v>27</v>
      </c>
      <c r="M9" s="130">
        <v>26</v>
      </c>
      <c r="N9" s="131">
        <v>53</v>
      </c>
      <c r="O9" s="132">
        <v>20</v>
      </c>
      <c r="P9" s="133">
        <v>23.6</v>
      </c>
      <c r="Q9" s="134">
        <v>21.8</v>
      </c>
      <c r="R9" s="132">
        <v>1155.4000000000001</v>
      </c>
      <c r="S9" s="135">
        <v>1.833333333333333</v>
      </c>
      <c r="T9" s="136">
        <v>0.33794191919191918</v>
      </c>
      <c r="U9" s="137">
        <v>2.1712752525252523</v>
      </c>
    </row>
    <row r="10" spans="2:21" ht="15.75">
      <c r="B10" s="255" t="s">
        <v>319</v>
      </c>
      <c r="C10" s="138">
        <v>2</v>
      </c>
      <c r="D10" s="130">
        <v>2</v>
      </c>
      <c r="E10" s="139">
        <v>2</v>
      </c>
      <c r="F10" s="140">
        <v>2</v>
      </c>
      <c r="G10" s="141">
        <v>1</v>
      </c>
      <c r="H10" s="142">
        <v>0</v>
      </c>
      <c r="I10" s="140">
        <v>2</v>
      </c>
      <c r="J10" s="143">
        <v>3</v>
      </c>
      <c r="K10" s="144">
        <v>5</v>
      </c>
      <c r="L10" s="129">
        <v>21</v>
      </c>
      <c r="M10" s="130">
        <v>19</v>
      </c>
      <c r="N10" s="145">
        <v>40</v>
      </c>
      <c r="O10" s="146">
        <v>18.899999999999999</v>
      </c>
      <c r="P10" s="147">
        <v>16.8</v>
      </c>
      <c r="Q10" s="134">
        <v>17.850000000000001</v>
      </c>
      <c r="R10" s="132">
        <v>714</v>
      </c>
      <c r="S10" s="135">
        <v>1.5277777777777777</v>
      </c>
      <c r="T10" s="149">
        <v>0.24801587301587302</v>
      </c>
      <c r="U10" s="150">
        <v>1.7757936507936507</v>
      </c>
    </row>
    <row r="11" spans="2:21" ht="15.75">
      <c r="B11" s="255" t="s">
        <v>320</v>
      </c>
      <c r="C11" s="138">
        <v>5</v>
      </c>
      <c r="D11" s="130">
        <v>4</v>
      </c>
      <c r="E11" s="139">
        <v>5</v>
      </c>
      <c r="F11" s="140">
        <v>5</v>
      </c>
      <c r="G11" s="141">
        <v>1</v>
      </c>
      <c r="H11" s="142">
        <v>0</v>
      </c>
      <c r="I11" s="140">
        <v>5</v>
      </c>
      <c r="J11" s="143">
        <v>6</v>
      </c>
      <c r="K11" s="144">
        <v>11</v>
      </c>
      <c r="L11" s="129">
        <v>32</v>
      </c>
      <c r="M11" s="130">
        <v>30</v>
      </c>
      <c r="N11" s="145">
        <v>62</v>
      </c>
      <c r="O11" s="146">
        <v>38</v>
      </c>
      <c r="P11" s="147">
        <v>37.700000000000003</v>
      </c>
      <c r="Q11" s="134">
        <v>37.85</v>
      </c>
      <c r="R11" s="132">
        <v>2346.7000000000003</v>
      </c>
      <c r="S11" s="135">
        <v>3.3611111111111107</v>
      </c>
      <c r="T11" s="149">
        <v>0.60907859078590787</v>
      </c>
      <c r="U11" s="150">
        <v>3.9701897018970187</v>
      </c>
    </row>
    <row r="12" spans="2:21" ht="15.75">
      <c r="B12" s="255" t="s">
        <v>321</v>
      </c>
      <c r="C12" s="138">
        <v>2</v>
      </c>
      <c r="D12" s="130">
        <v>2</v>
      </c>
      <c r="E12" s="139">
        <v>2</v>
      </c>
      <c r="F12" s="151">
        <v>2</v>
      </c>
      <c r="G12" s="152">
        <v>0</v>
      </c>
      <c r="H12" s="153">
        <v>0</v>
      </c>
      <c r="I12" s="151">
        <v>2</v>
      </c>
      <c r="J12" s="143">
        <v>2</v>
      </c>
      <c r="K12" s="144">
        <v>4</v>
      </c>
      <c r="L12" s="129">
        <v>12</v>
      </c>
      <c r="M12" s="130">
        <v>12</v>
      </c>
      <c r="N12" s="145">
        <v>24</v>
      </c>
      <c r="O12" s="154">
        <v>21.1</v>
      </c>
      <c r="P12" s="148">
        <v>21.4</v>
      </c>
      <c r="Q12" s="134">
        <v>21.25</v>
      </c>
      <c r="R12" s="132">
        <v>510</v>
      </c>
      <c r="S12" s="135">
        <v>1.2222222222222221</v>
      </c>
      <c r="T12" s="155">
        <v>0.15757575757575756</v>
      </c>
      <c r="U12" s="150">
        <v>1.3797979797979796</v>
      </c>
    </row>
    <row r="13" spans="2:21" ht="15.75">
      <c r="B13" s="255" t="s">
        <v>322</v>
      </c>
      <c r="C13" s="156">
        <v>1</v>
      </c>
      <c r="D13" s="157">
        <v>1</v>
      </c>
      <c r="E13" s="158">
        <v>1</v>
      </c>
      <c r="F13" s="159">
        <v>1</v>
      </c>
      <c r="G13" s="160">
        <v>0</v>
      </c>
      <c r="H13" s="161">
        <v>0</v>
      </c>
      <c r="I13" s="151">
        <v>1</v>
      </c>
      <c r="J13" s="143">
        <v>1</v>
      </c>
      <c r="K13" s="144">
        <v>2</v>
      </c>
      <c r="L13" s="162">
        <v>16</v>
      </c>
      <c r="M13" s="157">
        <v>0</v>
      </c>
      <c r="N13" s="163">
        <v>16</v>
      </c>
      <c r="O13" s="164">
        <v>20.74</v>
      </c>
      <c r="P13" s="165" t="s">
        <v>316</v>
      </c>
      <c r="Q13" s="134">
        <v>20.74</v>
      </c>
      <c r="R13" s="132">
        <v>331.84</v>
      </c>
      <c r="S13" s="135">
        <v>0.61111111111111105</v>
      </c>
      <c r="T13" s="166">
        <v>0.22222222222222221</v>
      </c>
      <c r="U13" s="150">
        <v>0.83333333333333326</v>
      </c>
    </row>
    <row r="14" spans="2:21" ht="15.75">
      <c r="B14" s="255" t="s">
        <v>323</v>
      </c>
      <c r="C14" s="156">
        <v>3</v>
      </c>
      <c r="D14" s="157">
        <v>3</v>
      </c>
      <c r="E14" s="158">
        <v>3</v>
      </c>
      <c r="F14" s="159">
        <v>3</v>
      </c>
      <c r="G14" s="160">
        <v>1</v>
      </c>
      <c r="H14" s="161">
        <v>0</v>
      </c>
      <c r="I14" s="151">
        <v>3</v>
      </c>
      <c r="J14" s="143">
        <v>4</v>
      </c>
      <c r="K14" s="144">
        <v>7</v>
      </c>
      <c r="L14" s="162">
        <v>17</v>
      </c>
      <c r="M14" s="157">
        <v>19</v>
      </c>
      <c r="N14" s="163">
        <v>36</v>
      </c>
      <c r="O14" s="164">
        <v>34.1</v>
      </c>
      <c r="P14" s="165">
        <v>36.299999999999997</v>
      </c>
      <c r="Q14" s="134">
        <v>35.200000000000003</v>
      </c>
      <c r="R14" s="132">
        <v>1267.2</v>
      </c>
      <c r="S14" s="135">
        <v>2.1388888888888888</v>
      </c>
      <c r="T14" s="166">
        <v>3.7499999999999992E-2</v>
      </c>
      <c r="U14" s="150">
        <v>2.1763888888888889</v>
      </c>
    </row>
    <row r="15" spans="2:21" ht="16.5" thickBot="1">
      <c r="B15" s="256" t="s">
        <v>324</v>
      </c>
      <c r="C15" s="167">
        <v>3</v>
      </c>
      <c r="D15" s="168">
        <v>2</v>
      </c>
      <c r="E15" s="169">
        <v>3</v>
      </c>
      <c r="F15" s="170">
        <v>3</v>
      </c>
      <c r="G15" s="171">
        <v>0</v>
      </c>
      <c r="H15" s="172">
        <v>0</v>
      </c>
      <c r="I15" s="159">
        <v>3</v>
      </c>
      <c r="J15" s="173">
        <v>3</v>
      </c>
      <c r="K15" s="174">
        <v>6</v>
      </c>
      <c r="L15" s="162">
        <v>66</v>
      </c>
      <c r="M15" s="157">
        <v>0</v>
      </c>
      <c r="N15" s="175">
        <v>66</v>
      </c>
      <c r="O15" s="176">
        <v>9.16</v>
      </c>
      <c r="P15" s="177" t="s">
        <v>316</v>
      </c>
      <c r="Q15" s="134">
        <v>9.16</v>
      </c>
      <c r="R15" s="132">
        <v>604.56000000000006</v>
      </c>
      <c r="S15" s="135">
        <v>1.833333333333333</v>
      </c>
      <c r="T15" s="178">
        <v>0.42618302018093251</v>
      </c>
      <c r="U15" s="179">
        <v>2.2595163535142655</v>
      </c>
    </row>
    <row r="16" spans="2:21" ht="16.5" thickBot="1">
      <c r="B16" s="180" t="s">
        <v>12</v>
      </c>
      <c r="C16" s="180">
        <v>28</v>
      </c>
      <c r="D16" s="181">
        <v>24</v>
      </c>
      <c r="E16" s="182">
        <v>28</v>
      </c>
      <c r="F16" s="180">
        <v>28</v>
      </c>
      <c r="G16" s="181">
        <v>3</v>
      </c>
      <c r="H16" s="182">
        <v>0</v>
      </c>
      <c r="I16" s="180">
        <v>28</v>
      </c>
      <c r="J16" s="181">
        <v>31</v>
      </c>
      <c r="K16" s="182">
        <v>59</v>
      </c>
      <c r="L16" s="183">
        <v>281</v>
      </c>
      <c r="M16" s="184">
        <v>199</v>
      </c>
      <c r="N16" s="185">
        <v>480</v>
      </c>
      <c r="O16" s="186">
        <v>183.2</v>
      </c>
      <c r="P16" s="187">
        <v>157.5</v>
      </c>
      <c r="Q16" s="188">
        <v>185.29999999999998</v>
      </c>
      <c r="R16" s="186">
        <v>10855.050000000001</v>
      </c>
      <c r="S16" s="189">
        <v>18.027777777777775</v>
      </c>
      <c r="T16" s="190">
        <v>3.499093193157798</v>
      </c>
      <c r="U16" s="191">
        <v>21.526870970935569</v>
      </c>
    </row>
    <row r="17" spans="2:21" ht="15.75">
      <c r="R17" s="259" t="s">
        <v>109</v>
      </c>
      <c r="S17" s="103">
        <f>'Q2.Dados Operacionais'!D30</f>
        <v>28</v>
      </c>
      <c r="T17" s="103"/>
      <c r="U17" s="103"/>
    </row>
    <row r="18" spans="2:21" ht="15.75">
      <c r="R18" s="259" t="s">
        <v>328</v>
      </c>
      <c r="S18" s="260">
        <f>S16/$S$17</f>
        <v>0.64384920634920628</v>
      </c>
      <c r="T18" s="260">
        <f>T16/$S$17</f>
        <v>0.12496761404134993</v>
      </c>
      <c r="U18" s="260">
        <f>U16/$S$17</f>
        <v>0.76881682039055599</v>
      </c>
    </row>
    <row r="20" spans="2:21" ht="16.5" thickBot="1">
      <c r="B20" s="103" t="s">
        <v>293</v>
      </c>
      <c r="C20" s="103"/>
      <c r="D20" s="103"/>
      <c r="E20" s="103"/>
      <c r="F20" s="103"/>
      <c r="G20" s="103"/>
      <c r="H20" s="103"/>
      <c r="I20" s="103"/>
      <c r="J20" s="103"/>
      <c r="K20" s="103"/>
      <c r="L20" s="103"/>
      <c r="M20" s="103"/>
      <c r="N20" s="103"/>
      <c r="O20" s="103"/>
      <c r="P20" s="103"/>
      <c r="Q20" s="103"/>
      <c r="R20" s="103"/>
      <c r="S20" s="103"/>
      <c r="T20" s="103"/>
      <c r="U20" s="104"/>
    </row>
    <row r="21" spans="2:21">
      <c r="B21" s="473" t="s">
        <v>325</v>
      </c>
      <c r="C21" s="474"/>
      <c r="D21" s="474"/>
      <c r="E21" s="474"/>
      <c r="F21" s="474"/>
      <c r="G21" s="474"/>
      <c r="H21" s="474"/>
      <c r="I21" s="474"/>
      <c r="J21" s="474"/>
      <c r="K21" s="474"/>
      <c r="L21" s="474"/>
      <c r="M21" s="474"/>
      <c r="N21" s="474"/>
      <c r="O21" s="474"/>
      <c r="P21" s="474"/>
      <c r="Q21" s="474"/>
      <c r="R21" s="474"/>
      <c r="S21" s="474"/>
      <c r="T21" s="474"/>
      <c r="U21" s="475"/>
    </row>
    <row r="22" spans="2:21" ht="13.5" thickBot="1">
      <c r="B22" s="476"/>
      <c r="C22" s="477"/>
      <c r="D22" s="477"/>
      <c r="E22" s="477"/>
      <c r="F22" s="477"/>
      <c r="G22" s="477"/>
      <c r="H22" s="477"/>
      <c r="I22" s="477"/>
      <c r="J22" s="477"/>
      <c r="K22" s="477"/>
      <c r="L22" s="477"/>
      <c r="M22" s="477"/>
      <c r="N22" s="477"/>
      <c r="O22" s="477"/>
      <c r="P22" s="477"/>
      <c r="Q22" s="477"/>
      <c r="R22" s="477"/>
      <c r="S22" s="477"/>
      <c r="T22" s="477"/>
      <c r="U22" s="478"/>
    </row>
    <row r="23" spans="2:21" ht="16.5" thickBot="1">
      <c r="B23" s="479" t="s">
        <v>295</v>
      </c>
      <c r="C23" s="482" t="s">
        <v>296</v>
      </c>
      <c r="D23" s="483"/>
      <c r="E23" s="484"/>
      <c r="F23" s="485" t="s">
        <v>297</v>
      </c>
      <c r="G23" s="486"/>
      <c r="H23" s="487"/>
      <c r="I23" s="485" t="s">
        <v>298</v>
      </c>
      <c r="J23" s="486"/>
      <c r="K23" s="487"/>
      <c r="L23" s="482" t="s">
        <v>299</v>
      </c>
      <c r="M23" s="483"/>
      <c r="N23" s="484"/>
      <c r="O23" s="488" t="s">
        <v>300</v>
      </c>
      <c r="P23" s="489"/>
      <c r="Q23" s="490"/>
      <c r="R23" s="258" t="s">
        <v>301</v>
      </c>
      <c r="S23" s="449" t="s">
        <v>302</v>
      </c>
      <c r="T23" s="450"/>
      <c r="U23" s="451"/>
    </row>
    <row r="24" spans="2:21" ht="13.5" thickBot="1">
      <c r="B24" s="480"/>
      <c r="C24" s="466" t="s">
        <v>303</v>
      </c>
      <c r="D24" s="445" t="s">
        <v>304</v>
      </c>
      <c r="E24" s="467" t="s">
        <v>305</v>
      </c>
      <c r="F24" s="445" t="s">
        <v>306</v>
      </c>
      <c r="G24" s="443" t="s">
        <v>307</v>
      </c>
      <c r="H24" s="441" t="s">
        <v>308</v>
      </c>
      <c r="I24" s="439" t="s">
        <v>303</v>
      </c>
      <c r="J24" s="470" t="s">
        <v>305</v>
      </c>
      <c r="K24" s="441" t="s">
        <v>13</v>
      </c>
      <c r="L24" s="455" t="s">
        <v>309</v>
      </c>
      <c r="M24" s="457" t="s">
        <v>310</v>
      </c>
      <c r="N24" s="459" t="s">
        <v>13</v>
      </c>
      <c r="O24" s="461" t="s">
        <v>309</v>
      </c>
      <c r="P24" s="447" t="s">
        <v>310</v>
      </c>
      <c r="Q24" s="463" t="s">
        <v>311</v>
      </c>
      <c r="R24" s="461" t="s">
        <v>312</v>
      </c>
      <c r="S24" s="461" t="s">
        <v>313</v>
      </c>
      <c r="T24" s="447" t="s">
        <v>314</v>
      </c>
      <c r="U24" s="453" t="s">
        <v>315</v>
      </c>
    </row>
    <row r="25" spans="2:21" ht="13.5" thickBot="1">
      <c r="B25" s="493"/>
      <c r="C25" s="466"/>
      <c r="D25" s="445"/>
      <c r="E25" s="467"/>
      <c r="F25" s="446"/>
      <c r="G25" s="444"/>
      <c r="H25" s="442"/>
      <c r="I25" s="440"/>
      <c r="J25" s="471"/>
      <c r="K25" s="442"/>
      <c r="L25" s="456"/>
      <c r="M25" s="458"/>
      <c r="N25" s="460"/>
      <c r="O25" s="462"/>
      <c r="P25" s="452"/>
      <c r="Q25" s="464"/>
      <c r="R25" s="462"/>
      <c r="S25" s="462"/>
      <c r="T25" s="452"/>
      <c r="U25" s="454"/>
    </row>
    <row r="26" spans="2:21" ht="15.75">
      <c r="B26" s="254" t="s">
        <v>317</v>
      </c>
      <c r="C26" s="192">
        <v>6</v>
      </c>
      <c r="D26" s="193">
        <v>5</v>
      </c>
      <c r="E26" s="194">
        <v>6</v>
      </c>
      <c r="F26" s="195">
        <v>12</v>
      </c>
      <c r="G26" s="196">
        <v>0</v>
      </c>
      <c r="H26" s="197">
        <v>0</v>
      </c>
      <c r="I26" s="195">
        <v>6</v>
      </c>
      <c r="J26" s="198">
        <v>6</v>
      </c>
      <c r="K26" s="199">
        <v>12</v>
      </c>
      <c r="L26" s="200">
        <v>47</v>
      </c>
      <c r="M26" s="201">
        <v>47</v>
      </c>
      <c r="N26" s="202">
        <v>94</v>
      </c>
      <c r="O26" s="203">
        <v>21.2</v>
      </c>
      <c r="P26" s="204">
        <v>21.7</v>
      </c>
      <c r="Q26" s="205">
        <v>21.45</v>
      </c>
      <c r="R26" s="206">
        <v>2016.3</v>
      </c>
      <c r="S26" s="207">
        <v>3.6666666666666661</v>
      </c>
      <c r="T26" s="208">
        <v>0.68115942028985499</v>
      </c>
      <c r="U26" s="209">
        <v>4.3478260869565215</v>
      </c>
    </row>
    <row r="27" spans="2:21" ht="15.75">
      <c r="B27" s="255" t="s">
        <v>318</v>
      </c>
      <c r="C27" s="210">
        <v>3</v>
      </c>
      <c r="D27" s="123">
        <v>3</v>
      </c>
      <c r="E27" s="124">
        <v>3</v>
      </c>
      <c r="F27" s="125">
        <v>6</v>
      </c>
      <c r="G27" s="126">
        <v>0</v>
      </c>
      <c r="H27" s="127">
        <v>0</v>
      </c>
      <c r="I27" s="125">
        <v>3</v>
      </c>
      <c r="J27" s="211">
        <v>3</v>
      </c>
      <c r="K27" s="128">
        <v>6</v>
      </c>
      <c r="L27" s="129">
        <v>26</v>
      </c>
      <c r="M27" s="130">
        <v>26</v>
      </c>
      <c r="N27" s="131">
        <v>52</v>
      </c>
      <c r="O27" s="212">
        <v>20</v>
      </c>
      <c r="P27" s="213">
        <v>23.6</v>
      </c>
      <c r="Q27" s="214">
        <v>21.8</v>
      </c>
      <c r="R27" s="132">
        <v>1133.6000000000001</v>
      </c>
      <c r="S27" s="135">
        <v>1.833333333333333</v>
      </c>
      <c r="T27" s="136">
        <v>0.28755144032921809</v>
      </c>
      <c r="U27" s="137">
        <v>2.1208847736625511</v>
      </c>
    </row>
    <row r="28" spans="2:21" ht="15.75">
      <c r="B28" s="255" t="s">
        <v>319</v>
      </c>
      <c r="C28" s="129">
        <v>2</v>
      </c>
      <c r="D28" s="130">
        <v>2</v>
      </c>
      <c r="E28" s="139">
        <v>2</v>
      </c>
      <c r="F28" s="125">
        <v>4</v>
      </c>
      <c r="G28" s="141">
        <v>1</v>
      </c>
      <c r="H28" s="142">
        <v>0</v>
      </c>
      <c r="I28" s="125">
        <v>2</v>
      </c>
      <c r="J28" s="211">
        <v>3</v>
      </c>
      <c r="K28" s="128">
        <v>5</v>
      </c>
      <c r="L28" s="129">
        <v>19</v>
      </c>
      <c r="M28" s="130">
        <v>20</v>
      </c>
      <c r="N28" s="131">
        <v>39</v>
      </c>
      <c r="O28" s="215">
        <v>18.899999999999999</v>
      </c>
      <c r="P28" s="216">
        <v>16.8</v>
      </c>
      <c r="Q28" s="214">
        <v>17.850000000000001</v>
      </c>
      <c r="R28" s="132">
        <v>696.15000000000009</v>
      </c>
      <c r="S28" s="217">
        <v>1.5277777777777777</v>
      </c>
      <c r="T28" s="149">
        <v>0.29853219696969702</v>
      </c>
      <c r="U28" s="137">
        <v>1.8263099747474747</v>
      </c>
    </row>
    <row r="29" spans="2:21" ht="15.75">
      <c r="B29" s="255" t="s">
        <v>320</v>
      </c>
      <c r="C29" s="129">
        <v>4</v>
      </c>
      <c r="D29" s="130">
        <v>4</v>
      </c>
      <c r="E29" s="139">
        <v>4</v>
      </c>
      <c r="F29" s="125">
        <v>8</v>
      </c>
      <c r="G29" s="141">
        <v>1</v>
      </c>
      <c r="H29" s="142">
        <v>0</v>
      </c>
      <c r="I29" s="125">
        <v>4</v>
      </c>
      <c r="J29" s="211">
        <v>5</v>
      </c>
      <c r="K29" s="128">
        <v>9</v>
      </c>
      <c r="L29" s="129">
        <v>27</v>
      </c>
      <c r="M29" s="130">
        <v>26</v>
      </c>
      <c r="N29" s="145">
        <v>53</v>
      </c>
      <c r="O29" s="215">
        <v>38</v>
      </c>
      <c r="P29" s="216">
        <v>37.700000000000003</v>
      </c>
      <c r="Q29" s="214">
        <v>37.85</v>
      </c>
      <c r="R29" s="146">
        <v>2006.0500000000002</v>
      </c>
      <c r="S29" s="217">
        <v>2.7499999999999996</v>
      </c>
      <c r="T29" s="149">
        <v>0.52066395663956633</v>
      </c>
      <c r="U29" s="150">
        <v>3.2706639566395657</v>
      </c>
    </row>
    <row r="30" spans="2:21" ht="15.75">
      <c r="B30" s="255" t="s">
        <v>321</v>
      </c>
      <c r="C30" s="129">
        <v>2</v>
      </c>
      <c r="D30" s="130">
        <v>2</v>
      </c>
      <c r="E30" s="139">
        <v>2</v>
      </c>
      <c r="F30" s="125">
        <v>4</v>
      </c>
      <c r="G30" s="152">
        <v>0</v>
      </c>
      <c r="H30" s="153">
        <v>0</v>
      </c>
      <c r="I30" s="125">
        <v>2</v>
      </c>
      <c r="J30" s="211">
        <v>2</v>
      </c>
      <c r="K30" s="128">
        <v>4</v>
      </c>
      <c r="L30" s="129">
        <v>12</v>
      </c>
      <c r="M30" s="130">
        <v>12</v>
      </c>
      <c r="N30" s="145">
        <v>24</v>
      </c>
      <c r="O30" s="218">
        <v>21.1</v>
      </c>
      <c r="P30" s="219">
        <v>21.4</v>
      </c>
      <c r="Q30" s="214">
        <v>21.25</v>
      </c>
      <c r="R30" s="146">
        <v>510</v>
      </c>
      <c r="S30" s="220">
        <v>1.2222222222222221</v>
      </c>
      <c r="T30" s="155">
        <v>0.11477987421383648</v>
      </c>
      <c r="U30" s="150">
        <v>1.3370020964360585</v>
      </c>
    </row>
    <row r="31" spans="2:21" ht="15.75">
      <c r="B31" s="255" t="s">
        <v>322</v>
      </c>
      <c r="C31" s="129">
        <v>1</v>
      </c>
      <c r="D31" s="130">
        <v>1</v>
      </c>
      <c r="E31" s="139">
        <v>1</v>
      </c>
      <c r="F31" s="125">
        <v>2</v>
      </c>
      <c r="G31" s="152">
        <v>0</v>
      </c>
      <c r="H31" s="153">
        <v>0</v>
      </c>
      <c r="I31" s="125">
        <v>1</v>
      </c>
      <c r="J31" s="211">
        <v>1</v>
      </c>
      <c r="K31" s="128">
        <v>2</v>
      </c>
      <c r="L31" s="129">
        <v>16</v>
      </c>
      <c r="M31" s="130">
        <v>0</v>
      </c>
      <c r="N31" s="145">
        <v>16</v>
      </c>
      <c r="O31" s="218">
        <v>20.74</v>
      </c>
      <c r="P31" s="219" t="s">
        <v>316</v>
      </c>
      <c r="Q31" s="214">
        <v>20.74</v>
      </c>
      <c r="R31" s="146">
        <v>331.84</v>
      </c>
      <c r="S31" s="220">
        <v>0.61111111111111105</v>
      </c>
      <c r="T31" s="155">
        <v>0.15032679738562094</v>
      </c>
      <c r="U31" s="150">
        <v>0.76143790849673199</v>
      </c>
    </row>
    <row r="32" spans="2:21" ht="15.75">
      <c r="B32" s="255" t="s">
        <v>323</v>
      </c>
      <c r="C32" s="210">
        <v>3</v>
      </c>
      <c r="D32" s="123">
        <v>3</v>
      </c>
      <c r="E32" s="124">
        <v>3</v>
      </c>
      <c r="F32" s="125">
        <v>6</v>
      </c>
      <c r="G32" s="221">
        <v>1</v>
      </c>
      <c r="H32" s="222">
        <v>0</v>
      </c>
      <c r="I32" s="125">
        <v>3</v>
      </c>
      <c r="J32" s="211">
        <v>4</v>
      </c>
      <c r="K32" s="128">
        <v>7</v>
      </c>
      <c r="L32" s="129">
        <v>16</v>
      </c>
      <c r="M32" s="130">
        <v>18</v>
      </c>
      <c r="N32" s="131">
        <v>34</v>
      </c>
      <c r="O32" s="223">
        <v>34.1</v>
      </c>
      <c r="P32" s="224">
        <v>36.299999999999997</v>
      </c>
      <c r="Q32" s="214">
        <v>35.200000000000003</v>
      </c>
      <c r="R32" s="132">
        <v>1196.8000000000002</v>
      </c>
      <c r="S32" s="225">
        <v>2.1388888888888888</v>
      </c>
      <c r="T32" s="226">
        <v>4.3849206349206346E-2</v>
      </c>
      <c r="U32" s="137">
        <v>2.1827380952380953</v>
      </c>
    </row>
    <row r="33" spans="2:21" ht="16.5" thickBot="1">
      <c r="B33" s="256" t="s">
        <v>324</v>
      </c>
      <c r="C33" s="227">
        <v>3</v>
      </c>
      <c r="D33" s="228">
        <v>2</v>
      </c>
      <c r="E33" s="229">
        <v>3</v>
      </c>
      <c r="F33" s="230">
        <v>6</v>
      </c>
      <c r="G33" s="231">
        <v>0</v>
      </c>
      <c r="H33" s="232">
        <v>0</v>
      </c>
      <c r="I33" s="230">
        <v>3</v>
      </c>
      <c r="J33" s="233">
        <v>3</v>
      </c>
      <c r="K33" s="234">
        <v>6</v>
      </c>
      <c r="L33" s="235">
        <v>70</v>
      </c>
      <c r="M33" s="236">
        <v>0</v>
      </c>
      <c r="N33" s="237">
        <v>70</v>
      </c>
      <c r="O33" s="238">
        <v>9.16</v>
      </c>
      <c r="P33" s="239" t="s">
        <v>316</v>
      </c>
      <c r="Q33" s="240">
        <v>9.16</v>
      </c>
      <c r="R33" s="241">
        <v>641.20000000000005</v>
      </c>
      <c r="S33" s="242">
        <v>1.833333333333333</v>
      </c>
      <c r="T33" s="243">
        <v>0.40136534839924665</v>
      </c>
      <c r="U33" s="244">
        <v>2.2346986817325796</v>
      </c>
    </row>
    <row r="34" spans="2:21" ht="16.5" thickBot="1">
      <c r="B34" s="180" t="s">
        <v>12</v>
      </c>
      <c r="C34" s="180">
        <v>24</v>
      </c>
      <c r="D34" s="181">
        <v>22</v>
      </c>
      <c r="E34" s="182">
        <v>24</v>
      </c>
      <c r="F34" s="180">
        <v>48</v>
      </c>
      <c r="G34" s="181">
        <v>3</v>
      </c>
      <c r="H34" s="182">
        <v>0</v>
      </c>
      <c r="I34" s="180">
        <v>24</v>
      </c>
      <c r="J34" s="181">
        <v>27</v>
      </c>
      <c r="K34" s="182">
        <v>51</v>
      </c>
      <c r="L34" s="183">
        <v>233</v>
      </c>
      <c r="M34" s="184">
        <v>149</v>
      </c>
      <c r="N34" s="185">
        <v>382</v>
      </c>
      <c r="O34" s="245">
        <v>183.2</v>
      </c>
      <c r="P34" s="246">
        <v>157.5</v>
      </c>
      <c r="Q34" s="247">
        <v>185.29999999999998</v>
      </c>
      <c r="R34" s="186">
        <v>8531.94</v>
      </c>
      <c r="S34" s="189">
        <v>15.583333333333332</v>
      </c>
      <c r="T34" s="190">
        <v>2.4982282405762466</v>
      </c>
      <c r="U34" s="191">
        <v>18.081561573909578</v>
      </c>
    </row>
    <row r="36" spans="2:21" ht="16.5" thickBot="1">
      <c r="B36" s="103" t="s">
        <v>293</v>
      </c>
      <c r="C36" s="103"/>
      <c r="D36" s="103"/>
      <c r="E36" s="103"/>
      <c r="F36" s="103"/>
      <c r="G36" s="103"/>
      <c r="H36" s="103"/>
      <c r="I36" s="103"/>
      <c r="J36" s="103"/>
      <c r="K36" s="103"/>
      <c r="L36" s="103"/>
      <c r="M36" s="103"/>
      <c r="N36" s="103"/>
      <c r="O36" s="103"/>
      <c r="P36" s="103"/>
      <c r="Q36" s="103"/>
      <c r="R36" s="103"/>
      <c r="S36" s="103"/>
      <c r="T36" s="103"/>
      <c r="U36" s="104"/>
    </row>
    <row r="37" spans="2:21">
      <c r="B37" s="473" t="s">
        <v>326</v>
      </c>
      <c r="C37" s="474"/>
      <c r="D37" s="474"/>
      <c r="E37" s="474"/>
      <c r="F37" s="474"/>
      <c r="G37" s="474"/>
      <c r="H37" s="474"/>
      <c r="I37" s="474"/>
      <c r="J37" s="474"/>
      <c r="K37" s="474"/>
      <c r="L37" s="474"/>
      <c r="M37" s="474"/>
      <c r="N37" s="474"/>
      <c r="O37" s="474"/>
      <c r="P37" s="474"/>
      <c r="Q37" s="474"/>
      <c r="R37" s="474"/>
      <c r="S37" s="474"/>
      <c r="T37" s="474"/>
      <c r="U37" s="475"/>
    </row>
    <row r="38" spans="2:21" ht="13.5" thickBot="1">
      <c r="B38" s="476"/>
      <c r="C38" s="477"/>
      <c r="D38" s="477"/>
      <c r="E38" s="477"/>
      <c r="F38" s="477"/>
      <c r="G38" s="477"/>
      <c r="H38" s="477"/>
      <c r="I38" s="477"/>
      <c r="J38" s="477"/>
      <c r="K38" s="477"/>
      <c r="L38" s="477"/>
      <c r="M38" s="477"/>
      <c r="N38" s="477"/>
      <c r="O38" s="477"/>
      <c r="P38" s="477"/>
      <c r="Q38" s="477"/>
      <c r="R38" s="477"/>
      <c r="S38" s="477"/>
      <c r="T38" s="477"/>
      <c r="U38" s="478"/>
    </row>
    <row r="39" spans="2:21" ht="16.5" thickBot="1">
      <c r="B39" s="479" t="s">
        <v>295</v>
      </c>
      <c r="C39" s="482" t="s">
        <v>296</v>
      </c>
      <c r="D39" s="483"/>
      <c r="E39" s="484"/>
      <c r="F39" s="485" t="s">
        <v>297</v>
      </c>
      <c r="G39" s="486"/>
      <c r="H39" s="487"/>
      <c r="I39" s="485" t="s">
        <v>298</v>
      </c>
      <c r="J39" s="486"/>
      <c r="K39" s="487"/>
      <c r="L39" s="482" t="s">
        <v>299</v>
      </c>
      <c r="M39" s="483"/>
      <c r="N39" s="484"/>
      <c r="O39" s="488" t="s">
        <v>300</v>
      </c>
      <c r="P39" s="489"/>
      <c r="Q39" s="490"/>
      <c r="R39" s="258" t="s">
        <v>301</v>
      </c>
      <c r="S39" s="449" t="s">
        <v>302</v>
      </c>
      <c r="T39" s="450"/>
      <c r="U39" s="451"/>
    </row>
    <row r="40" spans="2:21">
      <c r="B40" s="480"/>
      <c r="C40" s="466" t="s">
        <v>303</v>
      </c>
      <c r="D40" s="445" t="s">
        <v>304</v>
      </c>
      <c r="E40" s="467" t="s">
        <v>305</v>
      </c>
      <c r="F40" s="445" t="s">
        <v>306</v>
      </c>
      <c r="G40" s="443" t="s">
        <v>307</v>
      </c>
      <c r="H40" s="441" t="s">
        <v>308</v>
      </c>
      <c r="I40" s="439" t="s">
        <v>303</v>
      </c>
      <c r="J40" s="470" t="s">
        <v>305</v>
      </c>
      <c r="K40" s="441" t="s">
        <v>13</v>
      </c>
      <c r="L40" s="455" t="s">
        <v>309</v>
      </c>
      <c r="M40" s="457" t="s">
        <v>310</v>
      </c>
      <c r="N40" s="459" t="s">
        <v>13</v>
      </c>
      <c r="O40" s="461" t="s">
        <v>309</v>
      </c>
      <c r="P40" s="447" t="s">
        <v>310</v>
      </c>
      <c r="Q40" s="463" t="s">
        <v>311</v>
      </c>
      <c r="R40" s="461" t="s">
        <v>312</v>
      </c>
      <c r="S40" s="461" t="s">
        <v>313</v>
      </c>
      <c r="T40" s="447" t="s">
        <v>314</v>
      </c>
      <c r="U40" s="453" t="s">
        <v>315</v>
      </c>
    </row>
    <row r="41" spans="2:21" ht="13.5" thickBot="1">
      <c r="B41" s="481"/>
      <c r="C41" s="491"/>
      <c r="D41" s="446"/>
      <c r="E41" s="492"/>
      <c r="F41" s="446"/>
      <c r="G41" s="444"/>
      <c r="H41" s="442"/>
      <c r="I41" s="440"/>
      <c r="J41" s="471"/>
      <c r="K41" s="442"/>
      <c r="L41" s="456"/>
      <c r="M41" s="458"/>
      <c r="N41" s="472"/>
      <c r="O41" s="469"/>
      <c r="P41" s="448"/>
      <c r="Q41" s="468"/>
      <c r="R41" s="469"/>
      <c r="S41" s="469"/>
      <c r="T41" s="448"/>
      <c r="U41" s="465"/>
    </row>
    <row r="42" spans="2:21" ht="15.75">
      <c r="B42" s="254" t="s">
        <v>317</v>
      </c>
      <c r="C42" s="192">
        <v>4</v>
      </c>
      <c r="D42" s="193">
        <v>4</v>
      </c>
      <c r="E42" s="194">
        <v>4</v>
      </c>
      <c r="F42" s="195">
        <v>8</v>
      </c>
      <c r="G42" s="196">
        <v>0</v>
      </c>
      <c r="H42" s="197">
        <v>0</v>
      </c>
      <c r="I42" s="195">
        <v>4</v>
      </c>
      <c r="J42" s="198">
        <v>4</v>
      </c>
      <c r="K42" s="199">
        <v>8</v>
      </c>
      <c r="L42" s="200">
        <v>35</v>
      </c>
      <c r="M42" s="201">
        <v>35</v>
      </c>
      <c r="N42" s="202">
        <v>70</v>
      </c>
      <c r="O42" s="203">
        <v>21.2</v>
      </c>
      <c r="P42" s="204">
        <v>21.7</v>
      </c>
      <c r="Q42" s="205">
        <v>21.45</v>
      </c>
      <c r="R42" s="206">
        <v>1501.5</v>
      </c>
      <c r="S42" s="207">
        <v>2.4444444444444442</v>
      </c>
      <c r="T42" s="208">
        <v>0.5572493224932249</v>
      </c>
      <c r="U42" s="209">
        <v>3.0016937669376693</v>
      </c>
    </row>
    <row r="43" spans="2:21" ht="15.75">
      <c r="B43" s="255" t="s">
        <v>318</v>
      </c>
      <c r="C43" s="210">
        <v>2</v>
      </c>
      <c r="D43" s="123">
        <v>2</v>
      </c>
      <c r="E43" s="124">
        <v>2</v>
      </c>
      <c r="F43" s="125">
        <v>4</v>
      </c>
      <c r="G43" s="126">
        <v>0</v>
      </c>
      <c r="H43" s="127">
        <v>0</v>
      </c>
      <c r="I43" s="125">
        <v>2</v>
      </c>
      <c r="J43" s="211">
        <v>2</v>
      </c>
      <c r="K43" s="128">
        <v>4</v>
      </c>
      <c r="L43" s="129">
        <v>23</v>
      </c>
      <c r="M43" s="130">
        <v>23</v>
      </c>
      <c r="N43" s="131">
        <v>46</v>
      </c>
      <c r="O43" s="212">
        <v>20</v>
      </c>
      <c r="P43" s="213">
        <v>23.6</v>
      </c>
      <c r="Q43" s="214">
        <v>21.8</v>
      </c>
      <c r="R43" s="132">
        <v>1002.8000000000001</v>
      </c>
      <c r="S43" s="135">
        <v>1.2222222222222221</v>
      </c>
      <c r="T43" s="136">
        <v>0.25801282051282054</v>
      </c>
      <c r="U43" s="137">
        <v>1.4802350427350426</v>
      </c>
    </row>
    <row r="44" spans="2:21" ht="15.75">
      <c r="B44" s="255" t="s">
        <v>319</v>
      </c>
      <c r="C44" s="129">
        <v>2</v>
      </c>
      <c r="D44" s="130">
        <v>2</v>
      </c>
      <c r="E44" s="139">
        <v>2</v>
      </c>
      <c r="F44" s="140">
        <v>4</v>
      </c>
      <c r="G44" s="141">
        <v>1</v>
      </c>
      <c r="H44" s="142">
        <v>0</v>
      </c>
      <c r="I44" s="140">
        <v>2</v>
      </c>
      <c r="J44" s="248">
        <v>3</v>
      </c>
      <c r="K44" s="144">
        <v>5</v>
      </c>
      <c r="L44" s="129">
        <v>19</v>
      </c>
      <c r="M44" s="130">
        <v>20</v>
      </c>
      <c r="N44" s="131">
        <v>39</v>
      </c>
      <c r="O44" s="215">
        <v>18.899999999999999</v>
      </c>
      <c r="P44" s="216">
        <v>16.8</v>
      </c>
      <c r="Q44" s="214">
        <v>17.850000000000001</v>
      </c>
      <c r="R44" s="132">
        <v>696.15000000000009</v>
      </c>
      <c r="S44" s="217">
        <v>1.5277777777777777</v>
      </c>
      <c r="T44" s="149">
        <v>0.27672101449275366</v>
      </c>
      <c r="U44" s="137">
        <v>1.8044987922705313</v>
      </c>
    </row>
    <row r="45" spans="2:21" ht="15.75">
      <c r="B45" s="255" t="s">
        <v>320</v>
      </c>
      <c r="C45" s="129">
        <v>4</v>
      </c>
      <c r="D45" s="130">
        <v>4</v>
      </c>
      <c r="E45" s="139">
        <v>4</v>
      </c>
      <c r="F45" s="140">
        <v>8</v>
      </c>
      <c r="G45" s="141">
        <v>1</v>
      </c>
      <c r="H45" s="142">
        <v>0</v>
      </c>
      <c r="I45" s="140">
        <v>4</v>
      </c>
      <c r="J45" s="248">
        <v>5</v>
      </c>
      <c r="K45" s="144">
        <v>9</v>
      </c>
      <c r="L45" s="129">
        <v>27</v>
      </c>
      <c r="M45" s="130">
        <v>26</v>
      </c>
      <c r="N45" s="145">
        <v>53</v>
      </c>
      <c r="O45" s="215">
        <v>38</v>
      </c>
      <c r="P45" s="216">
        <v>37.700000000000003</v>
      </c>
      <c r="Q45" s="249">
        <v>37.85</v>
      </c>
      <c r="R45" s="146">
        <v>2006.0500000000002</v>
      </c>
      <c r="S45" s="217">
        <v>2.7499999999999996</v>
      </c>
      <c r="T45" s="149">
        <v>0.38405797101449274</v>
      </c>
      <c r="U45" s="150">
        <v>3.1340579710144922</v>
      </c>
    </row>
    <row r="46" spans="2:21" ht="15.75">
      <c r="B46" s="255" t="s">
        <v>321</v>
      </c>
      <c r="C46" s="129">
        <v>0</v>
      </c>
      <c r="D46" s="130">
        <v>0</v>
      </c>
      <c r="E46" s="139">
        <v>0</v>
      </c>
      <c r="F46" s="151">
        <v>0</v>
      </c>
      <c r="G46" s="152">
        <v>0</v>
      </c>
      <c r="H46" s="153">
        <v>0</v>
      </c>
      <c r="I46" s="151">
        <v>0</v>
      </c>
      <c r="J46" s="248">
        <v>0</v>
      </c>
      <c r="K46" s="144">
        <v>0</v>
      </c>
      <c r="L46" s="129">
        <v>0</v>
      </c>
      <c r="M46" s="130">
        <v>0</v>
      </c>
      <c r="N46" s="145">
        <v>0</v>
      </c>
      <c r="O46" s="218">
        <v>0</v>
      </c>
      <c r="P46" s="219">
        <v>0</v>
      </c>
      <c r="Q46" s="249">
        <v>0</v>
      </c>
      <c r="R46" s="146">
        <v>0</v>
      </c>
      <c r="S46" s="220">
        <v>0</v>
      </c>
      <c r="T46" s="155">
        <v>0</v>
      </c>
      <c r="U46" s="150">
        <v>0</v>
      </c>
    </row>
    <row r="47" spans="2:21" ht="15.75">
      <c r="B47" s="255" t="s">
        <v>322</v>
      </c>
      <c r="C47" s="129">
        <v>1</v>
      </c>
      <c r="D47" s="130">
        <v>1</v>
      </c>
      <c r="E47" s="139">
        <v>1</v>
      </c>
      <c r="F47" s="151">
        <v>2</v>
      </c>
      <c r="G47" s="152">
        <v>0</v>
      </c>
      <c r="H47" s="153">
        <v>0</v>
      </c>
      <c r="I47" s="151">
        <v>1</v>
      </c>
      <c r="J47" s="248">
        <v>1</v>
      </c>
      <c r="K47" s="144">
        <v>2</v>
      </c>
      <c r="L47" s="129">
        <v>16</v>
      </c>
      <c r="M47" s="130">
        <v>0</v>
      </c>
      <c r="N47" s="145">
        <v>16</v>
      </c>
      <c r="O47" s="218">
        <v>20.74</v>
      </c>
      <c r="P47" s="219" t="s">
        <v>316</v>
      </c>
      <c r="Q47" s="214">
        <v>20.74</v>
      </c>
      <c r="R47" s="146">
        <v>331.84</v>
      </c>
      <c r="S47" s="220">
        <v>0.61111111111111105</v>
      </c>
      <c r="T47" s="155">
        <v>0.16908212560386474</v>
      </c>
      <c r="U47" s="150">
        <v>0.78019323671497576</v>
      </c>
    </row>
    <row r="48" spans="2:21" ht="15.75">
      <c r="B48" s="255" t="s">
        <v>323</v>
      </c>
      <c r="C48" s="210">
        <v>2</v>
      </c>
      <c r="D48" s="123">
        <v>2</v>
      </c>
      <c r="E48" s="124">
        <v>2</v>
      </c>
      <c r="F48" s="250">
        <v>4</v>
      </c>
      <c r="G48" s="221">
        <v>1</v>
      </c>
      <c r="H48" s="222">
        <v>0</v>
      </c>
      <c r="I48" s="250">
        <v>2</v>
      </c>
      <c r="J48" s="211">
        <v>3</v>
      </c>
      <c r="K48" s="128">
        <v>5</v>
      </c>
      <c r="L48" s="129">
        <v>11</v>
      </c>
      <c r="M48" s="130">
        <v>12</v>
      </c>
      <c r="N48" s="131">
        <v>23</v>
      </c>
      <c r="O48" s="223">
        <v>34.1</v>
      </c>
      <c r="P48" s="224">
        <v>36.299999999999997</v>
      </c>
      <c r="Q48" s="214">
        <v>35.200000000000003</v>
      </c>
      <c r="R48" s="132">
        <v>809.6</v>
      </c>
      <c r="S48" s="225">
        <v>1.5277777777777777</v>
      </c>
      <c r="T48" s="226">
        <v>6.7678907721280615E-3</v>
      </c>
      <c r="U48" s="137">
        <v>1.5345456685499057</v>
      </c>
    </row>
    <row r="49" spans="2:21" ht="16.5" thickBot="1">
      <c r="B49" s="256" t="s">
        <v>324</v>
      </c>
      <c r="C49" s="227">
        <v>2</v>
      </c>
      <c r="D49" s="228">
        <v>2</v>
      </c>
      <c r="E49" s="229">
        <v>2</v>
      </c>
      <c r="F49" s="251">
        <v>4</v>
      </c>
      <c r="G49" s="231">
        <v>0</v>
      </c>
      <c r="H49" s="232">
        <v>0</v>
      </c>
      <c r="I49" s="251">
        <v>2</v>
      </c>
      <c r="J49" s="233">
        <v>2</v>
      </c>
      <c r="K49" s="234">
        <v>4</v>
      </c>
      <c r="L49" s="235">
        <v>59</v>
      </c>
      <c r="M49" s="236">
        <v>0</v>
      </c>
      <c r="N49" s="237">
        <v>59</v>
      </c>
      <c r="O49" s="238">
        <v>9.16</v>
      </c>
      <c r="P49" s="239" t="s">
        <v>316</v>
      </c>
      <c r="Q49" s="240">
        <v>9.16</v>
      </c>
      <c r="R49" s="241">
        <v>540.44000000000005</v>
      </c>
      <c r="S49" s="242">
        <v>1.2222222222222221</v>
      </c>
      <c r="T49" s="243">
        <v>0.31399842923280419</v>
      </c>
      <c r="U49" s="244">
        <v>1.5362206514550263</v>
      </c>
    </row>
    <row r="50" spans="2:21" ht="16.5" thickBot="1">
      <c r="B50" s="180" t="s">
        <v>12</v>
      </c>
      <c r="C50" s="180">
        <v>17</v>
      </c>
      <c r="D50" s="181">
        <v>17</v>
      </c>
      <c r="E50" s="182">
        <v>17</v>
      </c>
      <c r="F50" s="180">
        <v>34</v>
      </c>
      <c r="G50" s="181">
        <v>3</v>
      </c>
      <c r="H50" s="182">
        <v>0</v>
      </c>
      <c r="I50" s="180">
        <v>17</v>
      </c>
      <c r="J50" s="252">
        <v>20</v>
      </c>
      <c r="K50" s="253">
        <v>37</v>
      </c>
      <c r="L50" s="183">
        <v>190</v>
      </c>
      <c r="M50" s="184">
        <v>116</v>
      </c>
      <c r="N50" s="185">
        <v>306</v>
      </c>
      <c r="O50" s="245">
        <v>162.1</v>
      </c>
      <c r="P50" s="246">
        <v>136.1</v>
      </c>
      <c r="Q50" s="247">
        <v>164.04999999999998</v>
      </c>
      <c r="R50" s="186">
        <v>6888.380000000001</v>
      </c>
      <c r="S50" s="189">
        <v>11.305555555555554</v>
      </c>
      <c r="T50" s="190">
        <v>1.9658895741220888</v>
      </c>
      <c r="U50" s="191">
        <v>13.271445129677643</v>
      </c>
    </row>
    <row r="51" spans="2:21" ht="13.5" thickBot="1"/>
    <row r="52" spans="2:21" ht="16.5" thickBot="1">
      <c r="B52" s="257" t="s">
        <v>327</v>
      </c>
      <c r="C52">
        <v>22</v>
      </c>
      <c r="N52">
        <f>(N16*C52)+(N34*C53)+(N50*C54)</f>
        <v>13312</v>
      </c>
      <c r="Q52" s="261" t="s">
        <v>329</v>
      </c>
      <c r="R52" s="186">
        <f>(R16*C52)+(R34*C53)+(R50*C54)</f>
        <v>300492.38000000006</v>
      </c>
    </row>
    <row r="53" spans="2:21" ht="15.75">
      <c r="B53" s="257" t="s">
        <v>325</v>
      </c>
      <c r="C53">
        <v>4</v>
      </c>
      <c r="N53">
        <f>N52/2</f>
        <v>6656</v>
      </c>
    </row>
    <row r="54" spans="2:21" ht="15.75">
      <c r="B54" s="257" t="s">
        <v>326</v>
      </c>
      <c r="C54">
        <v>4</v>
      </c>
    </row>
  </sheetData>
  <sheetProtection algorithmName="SHA-512" hashValue="MacAd9p9/DPrlBf2Q0K/j6Ve54324HTr7+qTE8xcemwejzClgdEldXGqxfZakHKcX/KqnCAYSJo6KousYrJCsg==" saltValue="jMFuJNbw60RFx2Pz7lou+g==" spinCount="100000" sheet="1" objects="1" scenarios="1" selectLockedCells="1" selectUnlockedCells="1"/>
  <mergeCells count="81">
    <mergeCell ref="E6:E7"/>
    <mergeCell ref="L6:L7"/>
    <mergeCell ref="M6:M7"/>
    <mergeCell ref="R6:R7"/>
    <mergeCell ref="S6:S7"/>
    <mergeCell ref="J6:J7"/>
    <mergeCell ref="B3:U4"/>
    <mergeCell ref="B5:B7"/>
    <mergeCell ref="C5:E5"/>
    <mergeCell ref="F5:H5"/>
    <mergeCell ref="I5:K5"/>
    <mergeCell ref="L5:N5"/>
    <mergeCell ref="O5:Q5"/>
    <mergeCell ref="S5:U5"/>
    <mergeCell ref="C6:C7"/>
    <mergeCell ref="H6:H7"/>
    <mergeCell ref="G6:G7"/>
    <mergeCell ref="F6:F7"/>
    <mergeCell ref="D6:D7"/>
    <mergeCell ref="F23:H23"/>
    <mergeCell ref="I23:K23"/>
    <mergeCell ref="L23:N23"/>
    <mergeCell ref="O23:Q23"/>
    <mergeCell ref="P6:P7"/>
    <mergeCell ref="Q6:Q7"/>
    <mergeCell ref="D40:D41"/>
    <mergeCell ref="E40:E41"/>
    <mergeCell ref="K6:K7"/>
    <mergeCell ref="R24:R25"/>
    <mergeCell ref="S24:S25"/>
    <mergeCell ref="K24:K25"/>
    <mergeCell ref="J24:J25"/>
    <mergeCell ref="N6:N7"/>
    <mergeCell ref="O6:O7"/>
    <mergeCell ref="I6:I7"/>
    <mergeCell ref="S23:U23"/>
    <mergeCell ref="T6:T7"/>
    <mergeCell ref="U6:U7"/>
    <mergeCell ref="B21:U22"/>
    <mergeCell ref="B23:B25"/>
    <mergeCell ref="C23:E23"/>
    <mergeCell ref="R40:R41"/>
    <mergeCell ref="S40:S41"/>
    <mergeCell ref="J40:J41"/>
    <mergeCell ref="K40:K41"/>
    <mergeCell ref="L40:L41"/>
    <mergeCell ref="M40:M41"/>
    <mergeCell ref="N40:N41"/>
    <mergeCell ref="O40:O41"/>
    <mergeCell ref="C24:C25"/>
    <mergeCell ref="E24:E25"/>
    <mergeCell ref="D24:D25"/>
    <mergeCell ref="I40:I41"/>
    <mergeCell ref="P40:P41"/>
    <mergeCell ref="B37:U38"/>
    <mergeCell ref="B39:B41"/>
    <mergeCell ref="C39:E39"/>
    <mergeCell ref="F39:H39"/>
    <mergeCell ref="I39:K39"/>
    <mergeCell ref="L39:N39"/>
    <mergeCell ref="O39:Q39"/>
    <mergeCell ref="C40:C41"/>
    <mergeCell ref="H40:H41"/>
    <mergeCell ref="G40:G41"/>
    <mergeCell ref="F40:F41"/>
    <mergeCell ref="I24:I25"/>
    <mergeCell ref="H24:H25"/>
    <mergeCell ref="G24:G25"/>
    <mergeCell ref="F24:F25"/>
    <mergeCell ref="T40:T41"/>
    <mergeCell ref="S39:U39"/>
    <mergeCell ref="T24:T25"/>
    <mergeCell ref="U24:U25"/>
    <mergeCell ref="L24:L25"/>
    <mergeCell ref="M24:M25"/>
    <mergeCell ref="N24:N25"/>
    <mergeCell ref="O24:O25"/>
    <mergeCell ref="P24:P25"/>
    <mergeCell ref="Q24:Q25"/>
    <mergeCell ref="U40:U41"/>
    <mergeCell ref="Q40:Q41"/>
  </mergeCells>
  <pageMargins left="0.511811024" right="0.511811024" top="0.78740157499999996" bottom="0.78740157499999996" header="0.31496062000000002" footer="0.31496062000000002"/>
  <ignoredErrors>
    <ignoredError sqref="B8:B15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F7:H11"/>
  <sheetViews>
    <sheetView workbookViewId="0">
      <selection activeCell="M10" sqref="M10"/>
    </sheetView>
  </sheetViews>
  <sheetFormatPr defaultRowHeight="12.75"/>
  <cols>
    <col min="6" max="6" width="16" bestFit="1" customWidth="1"/>
    <col min="7" max="7" width="12.7109375" style="72" bestFit="1" customWidth="1"/>
  </cols>
  <sheetData>
    <row r="7" spans="6:8">
      <c r="F7" t="s">
        <v>236</v>
      </c>
      <c r="G7" s="72">
        <f>SUM('Q4.a-Custos Fixos'!I11:I11)</f>
        <v>8160197.8091796748</v>
      </c>
      <c r="H7" s="73" t="e">
        <f>G7/$G$11</f>
        <v>#REF!</v>
      </c>
    </row>
    <row r="8" spans="6:8">
      <c r="F8" t="s">
        <v>237</v>
      </c>
      <c r="G8" s="72" t="e">
        <f>SUM('Q3.C Variável'!H13:H13)-G10</f>
        <v>#REF!</v>
      </c>
      <c r="H8" s="73" t="e">
        <f>G8/$G$11</f>
        <v>#REF!</v>
      </c>
    </row>
    <row r="9" spans="6:8">
      <c r="F9" t="s">
        <v>238</v>
      </c>
      <c r="G9" s="72" t="e">
        <f>'Q6. Despesas gerais'!C5+'Q6. Despesas gerais'!#REF!+'Q6. Despesas gerais'!#REF!+'Q6. Despesas gerais'!#REF!+'Q6. Despesas gerais'!#REF!+'Q6. Despesas gerais'!C6+'Q6. Despesas gerais'!C8+'Q6. Despesas gerais'!#REF!+'Q6. Despesas gerais'!C11+'Q6. Despesas gerais'!#REF!</f>
        <v>#REF!</v>
      </c>
      <c r="H9" s="73" t="e">
        <f>G9/$G$11</f>
        <v>#REF!</v>
      </c>
    </row>
    <row r="10" spans="6:8">
      <c r="G10" s="72" t="e">
        <f>'Q3.C Variável'!#REF!</f>
        <v>#REF!</v>
      </c>
      <c r="H10" s="73" t="e">
        <f>G10/$G$11</f>
        <v>#REF!</v>
      </c>
    </row>
    <row r="11" spans="6:8">
      <c r="G11" s="72" t="e">
        <f>SUM(G7:G10)</f>
        <v>#REF!</v>
      </c>
    </row>
  </sheetData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15"/>
  <dimension ref="A1:H21"/>
  <sheetViews>
    <sheetView showGridLines="0" zoomScale="130" zoomScaleNormal="130" workbookViewId="0">
      <selection activeCell="C19" sqref="C19"/>
    </sheetView>
  </sheetViews>
  <sheetFormatPr defaultColWidth="7.140625" defaultRowHeight="12.75"/>
  <cols>
    <col min="1" max="1" width="39" style="270" customWidth="1"/>
    <col min="2" max="7" width="12.28515625" style="270" customWidth="1"/>
    <col min="8" max="8" width="13.7109375" style="270" customWidth="1"/>
    <col min="9" max="16384" width="7.140625" style="270"/>
  </cols>
  <sheetData>
    <row r="1" spans="1:8" ht="16.5" customHeight="1">
      <c r="A1" s="269" t="s">
        <v>0</v>
      </c>
    </row>
    <row r="2" spans="1:8" ht="16.5" customHeight="1">
      <c r="A2" s="269"/>
    </row>
    <row r="3" spans="1:8" ht="16.5" customHeight="1">
      <c r="A3" s="271" t="s">
        <v>168</v>
      </c>
      <c r="B3" s="272">
        <f>B21</f>
        <v>6.26</v>
      </c>
    </row>
    <row r="4" spans="1:8" ht="16.5" customHeight="1">
      <c r="A4" s="271" t="s">
        <v>274</v>
      </c>
      <c r="B4" s="273">
        <v>2.6499999999999999E-2</v>
      </c>
    </row>
    <row r="5" spans="1:8" ht="16.5" customHeight="1">
      <c r="A5" s="271" t="s">
        <v>169</v>
      </c>
      <c r="B5" s="272">
        <v>3</v>
      </c>
    </row>
    <row r="6" spans="1:8" ht="16.5" customHeight="1">
      <c r="A6" s="271" t="s">
        <v>170</v>
      </c>
      <c r="B6" s="48">
        <v>0.03</v>
      </c>
    </row>
    <row r="7" spans="1:8" ht="16.5" customHeight="1">
      <c r="A7" s="271" t="s">
        <v>171</v>
      </c>
      <c r="B7" s="48">
        <v>0.05</v>
      </c>
    </row>
    <row r="8" spans="1:8" ht="16.5" customHeight="1">
      <c r="A8" s="269"/>
    </row>
    <row r="9" spans="1:8" ht="25.5">
      <c r="A9" s="271"/>
      <c r="B9" s="274" t="s">
        <v>174</v>
      </c>
      <c r="C9" s="274" t="s">
        <v>6</v>
      </c>
      <c r="D9" s="274" t="s">
        <v>7</v>
      </c>
      <c r="E9" s="274" t="s">
        <v>62</v>
      </c>
      <c r="F9" s="274" t="s">
        <v>8</v>
      </c>
      <c r="G9" s="274" t="s">
        <v>36</v>
      </c>
      <c r="H9" s="274" t="s">
        <v>37</v>
      </c>
    </row>
    <row r="10" spans="1:8" ht="16.5" customHeight="1">
      <c r="A10" s="275" t="s">
        <v>231</v>
      </c>
      <c r="B10" s="272">
        <f>0.37*1.15</f>
        <v>0.42549999999999999</v>
      </c>
      <c r="C10" s="276">
        <v>2422.98</v>
      </c>
      <c r="D10" s="276">
        <v>500</v>
      </c>
      <c r="E10" s="276">
        <v>6</v>
      </c>
      <c r="F10" s="276">
        <v>2.5</v>
      </c>
      <c r="G10" s="277">
        <f>(C10+(D10*F10))*E10</f>
        <v>22037.88</v>
      </c>
      <c r="H10" s="277">
        <v>125000</v>
      </c>
    </row>
    <row r="11" spans="1:8" ht="16.5" customHeight="1">
      <c r="A11" s="271"/>
    </row>
    <row r="12" spans="1:8" ht="47.25" customHeight="1">
      <c r="A12" s="271"/>
      <c r="B12" s="274" t="s">
        <v>64</v>
      </c>
      <c r="C12" s="274" t="s">
        <v>24</v>
      </c>
      <c r="D12" s="274" t="s">
        <v>54</v>
      </c>
      <c r="E12" s="274" t="s">
        <v>25</v>
      </c>
      <c r="F12" s="274" t="s">
        <v>172</v>
      </c>
      <c r="G12" s="274" t="s">
        <v>55</v>
      </c>
      <c r="H12" s="278" t="s">
        <v>173</v>
      </c>
    </row>
    <row r="13" spans="1:8" ht="16.5" customHeight="1">
      <c r="A13" s="275" t="s">
        <v>231</v>
      </c>
      <c r="B13" s="279">
        <f>$B$3*B10</f>
        <v>2.6636299999999999</v>
      </c>
      <c r="C13" s="279">
        <f t="shared" ref="C13" si="0">B13*$B$4</f>
        <v>7.058619499999999E-2</v>
      </c>
      <c r="D13" s="279">
        <f>$B$5*$B$6*B10</f>
        <v>3.8294999999999996E-2</v>
      </c>
      <c r="E13" s="279">
        <f>G10/H10</f>
        <v>0.17630304000000002</v>
      </c>
      <c r="F13" s="279">
        <f>($B$7/12)*'Q8.a-Preço-Veíc. Op.'!B5/(78000/12)</f>
        <v>0.40535481359349307</v>
      </c>
      <c r="G13" s="279">
        <f>SUM(B13:F13)</f>
        <v>3.3541690485934934</v>
      </c>
      <c r="H13" s="100">
        <f>G13*'Q2.Dados Operacionais'!D5</f>
        <v>13062413.034731163</v>
      </c>
    </row>
    <row r="14" spans="1:8" ht="16.5" customHeight="1">
      <c r="B14" s="280"/>
      <c r="C14" s="280"/>
      <c r="D14" s="280"/>
      <c r="E14" s="280"/>
      <c r="F14" s="280"/>
      <c r="G14" s="280"/>
      <c r="H14" s="61"/>
    </row>
    <row r="15" spans="1:8">
      <c r="A15" s="407" t="s">
        <v>267</v>
      </c>
      <c r="B15" s="407"/>
      <c r="C15" s="281"/>
      <c r="D15" s="281"/>
      <c r="E15" s="281"/>
      <c r="F15" s="281"/>
      <c r="G15" s="281"/>
      <c r="H15" s="282"/>
    </row>
    <row r="16" spans="1:8">
      <c r="A16" s="265"/>
      <c r="B16" s="283" t="s">
        <v>269</v>
      </c>
    </row>
    <row r="17" spans="1:2">
      <c r="A17" s="265" t="s">
        <v>272</v>
      </c>
      <c r="B17" s="276">
        <v>7.29</v>
      </c>
    </row>
    <row r="18" spans="1:2">
      <c r="A18" s="265" t="s">
        <v>273</v>
      </c>
      <c r="B18" s="276">
        <v>7.12</v>
      </c>
    </row>
    <row r="19" spans="1:2">
      <c r="A19" s="265" t="s">
        <v>270</v>
      </c>
      <c r="B19" s="276">
        <f>B18/B17</f>
        <v>0.97668038408779145</v>
      </c>
    </row>
    <row r="20" spans="1:2">
      <c r="A20" s="284" t="s">
        <v>268</v>
      </c>
      <c r="B20" s="276">
        <v>6.4080000000000004</v>
      </c>
    </row>
    <row r="21" spans="1:2">
      <c r="A21" s="284" t="s">
        <v>271</v>
      </c>
      <c r="B21" s="276">
        <f>ROUND(B20*B19,2)</f>
        <v>6.26</v>
      </c>
    </row>
  </sheetData>
  <sheetProtection algorithmName="SHA-512" hashValue="IhKKQpAkn1TzbXV0+7K4emXKUruHLihrrCg6ED0EdhLWX2vU2AcQ1hAwoxGa/4BmUnnspRNdvbBEM650FMNDdQ==" saltValue="1oSvnsOtqhd60TjdGs4LGw==" spinCount="100000" sheet="1" objects="1" scenarios="1" selectLockedCells="1" selectUnlockedCells="1"/>
  <mergeCells count="1">
    <mergeCell ref="A15:B15"/>
  </mergeCells>
  <phoneticPr fontId="6" type="noConversion"/>
  <pageMargins left="0.78740157499999996" right="0.78740157499999996" top="0.984251969" bottom="0.984251969" header="0.49212598499999999" footer="0.49212598499999999"/>
  <pageSetup paperSize="9" orientation="portrait" horizontalDpi="4294967293" r:id="rId1"/>
  <headerFooter alignWithMargins="0"/>
  <ignoredErrors>
    <ignoredError sqref="G10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16"/>
  <dimension ref="A1:I19"/>
  <sheetViews>
    <sheetView showGridLines="0" zoomScale="160" zoomScaleNormal="160" workbookViewId="0">
      <selection activeCell="C16" sqref="C16"/>
    </sheetView>
  </sheetViews>
  <sheetFormatPr defaultColWidth="7.140625" defaultRowHeight="12.75"/>
  <cols>
    <col min="1" max="1" width="23.28515625" style="270" customWidth="1"/>
    <col min="2" max="2" width="11" style="270" customWidth="1"/>
    <col min="3" max="4" width="10.7109375" style="270" customWidth="1"/>
    <col min="5" max="5" width="7.7109375" style="270" bestFit="1" customWidth="1"/>
    <col min="6" max="6" width="11.7109375" style="270" customWidth="1"/>
    <col min="7" max="7" width="10.5703125" style="270" bestFit="1" customWidth="1"/>
    <col min="8" max="8" width="14.42578125" style="270" bestFit="1" customWidth="1"/>
    <col min="9" max="9" width="13" style="270" customWidth="1"/>
    <col min="10" max="10" width="9.7109375" style="270" bestFit="1" customWidth="1"/>
    <col min="11" max="16384" width="7.140625" style="270"/>
  </cols>
  <sheetData>
    <row r="1" spans="1:9">
      <c r="A1" s="285" t="s">
        <v>26</v>
      </c>
      <c r="B1" s="285"/>
    </row>
    <row r="3" spans="1:9">
      <c r="A3" s="270" t="s">
        <v>175</v>
      </c>
      <c r="B3" s="273">
        <v>0.4108</v>
      </c>
    </row>
    <row r="4" spans="1:9">
      <c r="A4" s="270" t="s">
        <v>63</v>
      </c>
      <c r="B4" s="286">
        <f>(26%*E11/12)+(146.36+(32.67*26)+33+378.58+4.59)</f>
        <v>1474.5029666666667</v>
      </c>
    </row>
    <row r="5" spans="1:9" ht="38.25">
      <c r="A5" s="287" t="s">
        <v>276</v>
      </c>
      <c r="B5" s="288">
        <v>0.28410000000000002</v>
      </c>
    </row>
    <row r="6" spans="1:9">
      <c r="A6" s="287" t="s">
        <v>176</v>
      </c>
      <c r="B6" s="289">
        <v>2743.8</v>
      </c>
    </row>
    <row r="7" spans="1:9">
      <c r="A7" s="287" t="s">
        <v>177</v>
      </c>
      <c r="B7" s="272">
        <f>'Q2.Dados Operacionais'!D12</f>
        <v>0.25</v>
      </c>
    </row>
    <row r="9" spans="1:9">
      <c r="B9" s="408" t="s">
        <v>128</v>
      </c>
      <c r="C9" s="407" t="s">
        <v>9</v>
      </c>
      <c r="D9" s="407"/>
      <c r="E9" s="407"/>
      <c r="F9" s="407" t="s">
        <v>179</v>
      </c>
      <c r="G9" s="407"/>
      <c r="H9" s="407"/>
      <c r="I9" s="408" t="s">
        <v>180</v>
      </c>
    </row>
    <row r="10" spans="1:9" ht="38.25">
      <c r="B10" s="408"/>
      <c r="C10" s="274" t="s">
        <v>255</v>
      </c>
      <c r="D10" s="274" t="s">
        <v>256</v>
      </c>
      <c r="E10" s="274" t="s">
        <v>178</v>
      </c>
      <c r="F10" s="274" t="s">
        <v>9</v>
      </c>
      <c r="G10" s="274" t="s">
        <v>33</v>
      </c>
      <c r="H10" s="274" t="s">
        <v>277</v>
      </c>
      <c r="I10" s="408"/>
    </row>
    <row r="11" spans="1:9">
      <c r="A11" s="275" t="s">
        <v>232</v>
      </c>
      <c r="B11" s="277">
        <f>'Q2.Dados Operacionais'!D13</f>
        <v>28</v>
      </c>
      <c r="C11" s="272">
        <f>'Q2.Dados Operacionais'!D9</f>
        <v>3.28</v>
      </c>
      <c r="D11" s="272">
        <f>'Q2.Dados Operacionais'!D10</f>
        <v>2.86</v>
      </c>
      <c r="E11" s="289">
        <v>2887.06</v>
      </c>
      <c r="F11" s="286">
        <f>((C11*E11*(1+B3))+(D11*B4))*12</f>
        <v>210920.75061727999</v>
      </c>
      <c r="G11" s="286">
        <f>((B6*B7*(1+B3))+(B7*B4))*12</f>
        <v>16036.368020000002</v>
      </c>
      <c r="H11" s="286">
        <f>(F11+G11)*B5</f>
        <v>64478.517404851249</v>
      </c>
      <c r="I11" s="101">
        <f>SUM(F11:H11)*B11</f>
        <v>8160197.8091796748</v>
      </c>
    </row>
    <row r="12" spans="1:9">
      <c r="F12" s="280"/>
      <c r="G12" s="280"/>
      <c r="H12" s="280"/>
    </row>
    <row r="13" spans="1:9">
      <c r="A13" s="285"/>
      <c r="B13" s="290"/>
      <c r="C13" s="291"/>
      <c r="D13" s="291"/>
      <c r="E13" s="291"/>
      <c r="F13" s="291"/>
      <c r="G13" s="291"/>
      <c r="H13" s="291"/>
      <c r="I13" s="291"/>
    </row>
    <row r="15" spans="1:9">
      <c r="G15" s="291"/>
    </row>
    <row r="16" spans="1:9">
      <c r="F16" s="61"/>
      <c r="G16" s="291"/>
    </row>
    <row r="17" spans="6:7">
      <c r="F17" s="61"/>
      <c r="G17" s="291"/>
    </row>
    <row r="18" spans="6:7">
      <c r="F18" s="292"/>
      <c r="G18" s="291"/>
    </row>
    <row r="19" spans="6:7">
      <c r="F19" s="292"/>
    </row>
  </sheetData>
  <sheetProtection algorithmName="SHA-512" hashValue="MvaYPfrYWWzl7y16sRxVeOg6l9Zmc4Ead6rKH3HevXlPoQSZ/C3GTmDfTwdf/05gr3VafER3tFHYi1GQ0mJCdA==" saltValue="Bd2F7dhj7djKfjL4k+iFLA==" spinCount="100000" sheet="1" objects="1" scenarios="1"/>
  <mergeCells count="4">
    <mergeCell ref="C9:E9"/>
    <mergeCell ref="F9:H9"/>
    <mergeCell ref="I9:I10"/>
    <mergeCell ref="B9:B10"/>
  </mergeCells>
  <phoneticPr fontId="6" type="noConversion"/>
  <pageMargins left="0.78740157499999996" right="0.78740157499999996" top="0.984251969" bottom="0.984251969" header="0.49212598499999999" footer="0.49212598499999999"/>
  <pageSetup paperSize="9" orientation="portrait" horizontalDpi="4294967292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5"/>
  <dimension ref="A1:V15"/>
  <sheetViews>
    <sheetView showGridLines="0" zoomScale="130" zoomScaleNormal="130" workbookViewId="0">
      <selection activeCell="H11" sqref="H11"/>
    </sheetView>
  </sheetViews>
  <sheetFormatPr defaultColWidth="7.140625" defaultRowHeight="12.75"/>
  <cols>
    <col min="1" max="1" width="51.140625" style="270" customWidth="1"/>
    <col min="2" max="2" width="13.42578125" style="270" customWidth="1"/>
    <col min="3" max="5" width="12.28515625" style="270" customWidth="1"/>
    <col min="6" max="6" width="8.85546875" style="270" bestFit="1" customWidth="1"/>
    <col min="7" max="7" width="9.85546875" style="270" bestFit="1" customWidth="1"/>
    <col min="8" max="8" width="12.140625" style="270" bestFit="1" customWidth="1"/>
    <col min="9" max="9" width="8.85546875" style="270" bestFit="1" customWidth="1"/>
    <col min="10" max="11" width="8.28515625" style="270" customWidth="1"/>
    <col min="12" max="12" width="9.85546875" style="270" bestFit="1" customWidth="1"/>
    <col min="13" max="13" width="8.7109375" style="270" bestFit="1" customWidth="1"/>
    <col min="14" max="21" width="8.28515625" style="270" customWidth="1"/>
    <col min="22" max="22" width="9.85546875" style="270" bestFit="1" customWidth="1"/>
    <col min="23" max="16384" width="7.140625" style="270"/>
  </cols>
  <sheetData>
    <row r="1" spans="1:22">
      <c r="A1" s="409" t="s">
        <v>40</v>
      </c>
      <c r="B1" s="409"/>
      <c r="C1" s="409"/>
      <c r="D1" s="409"/>
    </row>
    <row r="2" spans="1:22">
      <c r="B2" s="283" t="s">
        <v>183</v>
      </c>
      <c r="C2" s="283" t="s">
        <v>13</v>
      </c>
    </row>
    <row r="3" spans="1:22">
      <c r="A3" s="270" t="s">
        <v>181</v>
      </c>
      <c r="B3" s="277">
        <v>7500</v>
      </c>
      <c r="C3" s="277">
        <f>B3*'Q2.Dados Operacionais'!$D$14</f>
        <v>240000</v>
      </c>
    </row>
    <row r="4" spans="1:22">
      <c r="A4" s="293" t="s">
        <v>129</v>
      </c>
      <c r="B4" s="277">
        <f>1200*4</f>
        <v>4800</v>
      </c>
      <c r="C4" s="277">
        <f>B4*'Q2.Dados Operacionais'!$D$14</f>
        <v>153600</v>
      </c>
    </row>
    <row r="5" spans="1:22">
      <c r="A5" s="293" t="s">
        <v>182</v>
      </c>
      <c r="B5" s="277">
        <f>B3*10</f>
        <v>75000</v>
      </c>
      <c r="C5" s="277">
        <f>B5</f>
        <v>75000</v>
      </c>
    </row>
    <row r="6" spans="1:22">
      <c r="A6" s="293"/>
      <c r="C6" s="294"/>
      <c r="E6" s="291"/>
      <c r="F6" s="294"/>
    </row>
    <row r="7" spans="1:22">
      <c r="A7" s="293"/>
      <c r="C7" s="294"/>
    </row>
    <row r="8" spans="1:22">
      <c r="A8" s="293"/>
    </row>
    <row r="9" spans="1:22">
      <c r="A9" s="293"/>
      <c r="B9" s="295" t="s">
        <v>66</v>
      </c>
      <c r="C9" s="295"/>
      <c r="D9" s="295"/>
      <c r="E9" s="296"/>
    </row>
    <row r="10" spans="1:22">
      <c r="A10" s="293"/>
      <c r="B10" s="297" t="s">
        <v>50</v>
      </c>
      <c r="C10" s="297" t="s">
        <v>1</v>
      </c>
      <c r="D10" s="297" t="s">
        <v>2</v>
      </c>
      <c r="E10" s="297" t="s">
        <v>3</v>
      </c>
      <c r="F10" s="297" t="s">
        <v>4</v>
      </c>
      <c r="G10" s="297" t="s">
        <v>5</v>
      </c>
      <c r="H10" s="297" t="s">
        <v>14</v>
      </c>
      <c r="I10" s="297" t="s">
        <v>15</v>
      </c>
      <c r="J10" s="297" t="s">
        <v>16</v>
      </c>
      <c r="K10" s="297" t="s">
        <v>17</v>
      </c>
      <c r="L10" s="297" t="s">
        <v>18</v>
      </c>
      <c r="M10" s="297" t="s">
        <v>56</v>
      </c>
      <c r="N10" s="297" t="s">
        <v>57</v>
      </c>
      <c r="O10" s="297" t="s">
        <v>58</v>
      </c>
      <c r="P10" s="297" t="s">
        <v>59</v>
      </c>
      <c r="Q10" s="297" t="s">
        <v>60</v>
      </c>
      <c r="R10" s="297" t="s">
        <v>221</v>
      </c>
      <c r="S10" s="297" t="s">
        <v>222</v>
      </c>
      <c r="T10" s="297" t="s">
        <v>223</v>
      </c>
      <c r="U10" s="297" t="s">
        <v>224</v>
      </c>
      <c r="V10" s="297" t="s">
        <v>225</v>
      </c>
    </row>
    <row r="11" spans="1:22">
      <c r="A11" s="293" t="s">
        <v>280</v>
      </c>
      <c r="B11" s="277">
        <f>C3+C4</f>
        <v>393600</v>
      </c>
      <c r="C11" s="277"/>
      <c r="D11" s="277"/>
      <c r="E11" s="277"/>
      <c r="F11" s="277"/>
      <c r="G11" s="277"/>
      <c r="H11" s="277">
        <f>B11</f>
        <v>393600</v>
      </c>
      <c r="I11" s="277"/>
      <c r="J11" s="277"/>
      <c r="K11" s="277"/>
      <c r="L11" s="277"/>
      <c r="M11" s="277">
        <f t="shared" ref="M11:R12" si="0">H11</f>
        <v>393600</v>
      </c>
      <c r="N11" s="277"/>
      <c r="O11" s="277"/>
      <c r="P11" s="277"/>
      <c r="Q11" s="277"/>
      <c r="R11" s="277">
        <f t="shared" si="0"/>
        <v>393600</v>
      </c>
      <c r="S11" s="277"/>
      <c r="T11" s="277"/>
      <c r="U11" s="277"/>
      <c r="V11" s="277"/>
    </row>
    <row r="12" spans="1:22">
      <c r="A12" s="293" t="s">
        <v>210</v>
      </c>
      <c r="B12" s="277">
        <f>C5</f>
        <v>75000</v>
      </c>
      <c r="C12" s="277"/>
      <c r="D12" s="277"/>
      <c r="E12" s="277"/>
      <c r="F12" s="277"/>
      <c r="G12" s="277"/>
      <c r="H12" s="277">
        <f>B12</f>
        <v>75000</v>
      </c>
      <c r="I12" s="277"/>
      <c r="J12" s="277"/>
      <c r="K12" s="277"/>
      <c r="L12" s="277"/>
      <c r="M12" s="277">
        <f t="shared" si="0"/>
        <v>75000</v>
      </c>
      <c r="N12" s="277"/>
      <c r="O12" s="277"/>
      <c r="P12" s="277"/>
      <c r="Q12" s="277"/>
      <c r="R12" s="277">
        <f t="shared" si="0"/>
        <v>75000</v>
      </c>
      <c r="S12" s="277"/>
      <c r="T12" s="277"/>
      <c r="U12" s="277"/>
      <c r="V12" s="277"/>
    </row>
    <row r="13" spans="1:22">
      <c r="C13" s="298"/>
      <c r="D13" s="298"/>
      <c r="E13" s="298"/>
      <c r="F13" s="298"/>
      <c r="G13" s="298"/>
      <c r="H13" s="298"/>
      <c r="I13" s="298"/>
      <c r="J13" s="298"/>
      <c r="K13" s="298"/>
      <c r="L13" s="298"/>
    </row>
    <row r="14" spans="1:22">
      <c r="A14" s="293"/>
      <c r="B14" s="294"/>
    </row>
    <row r="15" spans="1:22">
      <c r="A15" s="293"/>
      <c r="B15" s="294"/>
    </row>
  </sheetData>
  <sheetProtection algorithmName="SHA-512" hashValue="etVM3qHENs3SEzSl7dAyv/XKqjPJIfg6HeE5rfFtrzOcmjp3Q404q9TT5y3WBpfEzWy5UWI2xHpZWyYpgOl/Zw==" saltValue="Nin+59/EOMQJWNMeTWPDTw==" spinCount="100000" sheet="1" objects="1" scenarios="1" selectLockedCells="1" selectUnlockedCells="1"/>
  <mergeCells count="1">
    <mergeCell ref="A1:D1"/>
  </mergeCells>
  <phoneticPr fontId="6" type="noConversion"/>
  <conditionalFormatting sqref="B10:L10">
    <cfRule type="cellIs" dxfId="33" priority="7" stopIfTrue="1" operator="lessThan">
      <formula>0</formula>
    </cfRule>
  </conditionalFormatting>
  <conditionalFormatting sqref="M10:V10">
    <cfRule type="cellIs" dxfId="32" priority="1" stopIfTrue="1" operator="lessThan">
      <formula>0</formula>
    </cfRule>
  </conditionalFormatting>
  <pageMargins left="0.78740157499999996" right="0.78740157499999996" top="0.984251969" bottom="0.984251969" header="0.49212598499999999" footer="0.49212598499999999"/>
  <pageSetup paperSize="9" orientation="portrait" horizontalDpi="4294967292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59"/>
  <dimension ref="A2:D84"/>
  <sheetViews>
    <sheetView showGridLines="0" zoomScale="115" zoomScaleNormal="115" workbookViewId="0">
      <selection activeCell="D26" sqref="D26"/>
    </sheetView>
  </sheetViews>
  <sheetFormatPr defaultColWidth="6.28515625" defaultRowHeight="12.75"/>
  <cols>
    <col min="1" max="1" width="60.7109375" style="299" bestFit="1" customWidth="1"/>
    <col min="2" max="2" width="16.28515625" style="299" customWidth="1"/>
    <col min="3" max="3" width="26.28515625" style="299" customWidth="1"/>
    <col min="4" max="4" width="11.140625" style="299" customWidth="1"/>
    <col min="5" max="16384" width="6.28515625" style="299"/>
  </cols>
  <sheetData>
    <row r="2" spans="1:3">
      <c r="A2" s="300" t="s">
        <v>184</v>
      </c>
    </row>
    <row r="3" spans="1:3">
      <c r="A3" s="300"/>
    </row>
    <row r="4" spans="1:3" s="300" customFormat="1">
      <c r="A4" s="301" t="s">
        <v>29</v>
      </c>
      <c r="B4" s="302"/>
      <c r="C4" s="303" t="s">
        <v>114</v>
      </c>
    </row>
    <row r="5" spans="1:3">
      <c r="A5" s="304" t="s">
        <v>203</v>
      </c>
      <c r="B5" s="305">
        <v>144.86000000000001</v>
      </c>
      <c r="C5" s="306">
        <f>B5*'Q2.Dados Operacionais'!D14</f>
        <v>4635.5200000000004</v>
      </c>
    </row>
    <row r="6" spans="1:3">
      <c r="A6" s="304" t="s">
        <v>166</v>
      </c>
      <c r="B6" s="305">
        <f>'Q1.Pass. 2022'!H16*'Q1.Pass. 2022'!C19*2%</f>
        <v>287438.08500000002</v>
      </c>
      <c r="C6" s="306">
        <f>B6</f>
        <v>287438.08500000002</v>
      </c>
    </row>
    <row r="7" spans="1:3" hidden="1">
      <c r="A7" s="304" t="s">
        <v>133</v>
      </c>
      <c r="B7" s="305"/>
      <c r="C7" s="306"/>
    </row>
    <row r="8" spans="1:3">
      <c r="A8" s="304" t="s">
        <v>204</v>
      </c>
      <c r="B8" s="306">
        <f>(B9*B10)</f>
        <v>13266.84105464684</v>
      </c>
      <c r="C8" s="410">
        <f>B8</f>
        <v>13266.84105464684</v>
      </c>
    </row>
    <row r="9" spans="1:3">
      <c r="A9" s="304" t="s">
        <v>34</v>
      </c>
      <c r="B9" s="305">
        <f>5%*'Q15-FCD'!B57</f>
        <v>1326684.1054646841</v>
      </c>
      <c r="C9" s="411"/>
    </row>
    <row r="10" spans="1:3">
      <c r="A10" s="304" t="s">
        <v>35</v>
      </c>
      <c r="B10" s="307">
        <v>0.01</v>
      </c>
      <c r="C10" s="412"/>
    </row>
    <row r="11" spans="1:3">
      <c r="A11" s="308" t="s">
        <v>257</v>
      </c>
      <c r="B11" s="309">
        <f>C11/'Q2.Dados Operacionais'!D14</f>
        <v>12647.070184116983</v>
      </c>
      <c r="C11" s="310">
        <f>2%*'Q2.Dados Operacionais'!D14*'Q8.a-Preço-Veíc. Op.'!B5</f>
        <v>404706.24589174346</v>
      </c>
    </row>
    <row r="14" spans="1:3">
      <c r="A14" s="311"/>
      <c r="B14" s="311"/>
      <c r="C14" s="311"/>
    </row>
    <row r="15" spans="1:3">
      <c r="A15" s="312"/>
      <c r="B15" s="311"/>
      <c r="C15" s="311"/>
    </row>
    <row r="17" spans="1:4">
      <c r="A17" s="313"/>
      <c r="B17" s="313"/>
      <c r="C17" s="313"/>
      <c r="D17" s="313"/>
    </row>
    <row r="18" spans="1:4">
      <c r="A18" s="314"/>
      <c r="B18" s="314"/>
      <c r="C18" s="314"/>
      <c r="D18" s="315"/>
    </row>
    <row r="19" spans="1:4">
      <c r="A19" s="314"/>
      <c r="B19" s="314"/>
      <c r="C19" s="314"/>
      <c r="D19" s="315"/>
    </row>
    <row r="20" spans="1:4">
      <c r="A20" s="314"/>
      <c r="B20" s="314"/>
      <c r="C20" s="314"/>
    </row>
    <row r="21" spans="1:4">
      <c r="A21" s="314"/>
      <c r="B21" s="314"/>
      <c r="C21" s="314"/>
      <c r="D21" s="316"/>
    </row>
    <row r="22" spans="1:4">
      <c r="A22" s="314"/>
      <c r="B22" s="314"/>
      <c r="C22" s="314"/>
      <c r="D22" s="316"/>
    </row>
    <row r="23" spans="1:4">
      <c r="A23" s="314"/>
      <c r="B23" s="314"/>
      <c r="C23" s="314"/>
      <c r="D23" s="316"/>
    </row>
    <row r="24" spans="1:4">
      <c r="A24" s="314"/>
      <c r="B24" s="314"/>
      <c r="C24" s="314"/>
      <c r="D24" s="316"/>
    </row>
    <row r="25" spans="1:4">
      <c r="A25" s="314"/>
      <c r="B25" s="314"/>
      <c r="C25" s="314"/>
      <c r="D25" s="316"/>
    </row>
    <row r="26" spans="1:4">
      <c r="A26" s="314"/>
      <c r="B26" s="314"/>
      <c r="C26" s="314"/>
      <c r="D26" s="316"/>
    </row>
    <row r="27" spans="1:4">
      <c r="A27" s="314"/>
      <c r="B27" s="314"/>
      <c r="C27" s="314"/>
      <c r="D27" s="316"/>
    </row>
    <row r="28" spans="1:4">
      <c r="A28" s="314"/>
      <c r="B28" s="314"/>
      <c r="C28" s="314"/>
      <c r="D28" s="316"/>
    </row>
    <row r="29" spans="1:4">
      <c r="A29" s="314"/>
      <c r="B29" s="314"/>
      <c r="C29" s="314"/>
      <c r="D29" s="316"/>
    </row>
    <row r="30" spans="1:4">
      <c r="A30" s="314"/>
      <c r="B30" s="314"/>
      <c r="C30" s="314"/>
      <c r="D30" s="316"/>
    </row>
    <row r="31" spans="1:4">
      <c r="A31" s="314"/>
      <c r="B31" s="314"/>
      <c r="C31" s="314"/>
      <c r="D31" s="316"/>
    </row>
    <row r="32" spans="1:4">
      <c r="A32" s="314"/>
      <c r="B32" s="314"/>
      <c r="C32" s="314"/>
      <c r="D32" s="316"/>
    </row>
    <row r="33" spans="1:4" ht="15">
      <c r="A33" s="314"/>
      <c r="B33" s="314"/>
      <c r="C33" s="314"/>
      <c r="D33" s="317"/>
    </row>
    <row r="34" spans="1:4">
      <c r="A34" s="314"/>
      <c r="B34" s="314"/>
      <c r="C34" s="314"/>
      <c r="D34" s="314"/>
    </row>
    <row r="35" spans="1:4">
      <c r="A35" s="314"/>
      <c r="B35" s="314"/>
      <c r="C35" s="316"/>
      <c r="D35" s="314"/>
    </row>
    <row r="84" spans="2:2">
      <c r="B84" s="299">
        <v>0.39</v>
      </c>
    </row>
  </sheetData>
  <sheetProtection algorithmName="SHA-512" hashValue="jw9/eue36g9UeilRUzdHcYrBtbEgUCnsmppsfqHTM1ysqfTX5PlQAyGyRmF6EYVnzq60XIxxJrmHTfbXFvEIhQ==" saltValue="EujbVwqJFUPUGFJl517fdg==" spinCount="100000" sheet="1" objects="1" scenarios="1" selectLockedCells="1" selectUnlockedCells="1"/>
  <mergeCells count="1">
    <mergeCell ref="C8:C10"/>
  </mergeCells>
  <phoneticPr fontId="6" type="noConversion"/>
  <conditionalFormatting sqref="C4">
    <cfRule type="cellIs" dxfId="31" priority="2" stopIfTrue="1" operator="lessThan">
      <formula>0</formula>
    </cfRule>
  </conditionalFormatting>
  <pageMargins left="0.78740157499999996" right="0.78740157499999996" top="0.984251969" bottom="0.984251969" header="0.49212598499999999" footer="0.49212598499999999"/>
  <pageSetup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1"/>
  <dimension ref="A1:Y49"/>
  <sheetViews>
    <sheetView showGridLines="0" topLeftCell="A17" zoomScaleNormal="70" workbookViewId="0">
      <selection activeCell="AA42" sqref="AA42"/>
    </sheetView>
  </sheetViews>
  <sheetFormatPr defaultColWidth="7.140625" defaultRowHeight="12.75"/>
  <cols>
    <col min="1" max="1" width="9.28515625" style="298" bestFit="1" customWidth="1"/>
    <col min="2" max="2" width="11.140625" style="298" customWidth="1"/>
    <col min="3" max="23" width="6.85546875" style="298" customWidth="1"/>
    <col min="24" max="24" width="7.140625" style="298" customWidth="1"/>
    <col min="25" max="16384" width="7.140625" style="298"/>
  </cols>
  <sheetData>
    <row r="1" spans="1:23" s="270" customFormat="1" ht="18" customHeight="1">
      <c r="A1" s="285"/>
      <c r="B1" s="413" t="s">
        <v>232</v>
      </c>
      <c r="C1" s="413"/>
      <c r="D1" s="413"/>
      <c r="E1" s="413"/>
      <c r="F1" s="413"/>
      <c r="G1" s="413"/>
      <c r="H1" s="413"/>
      <c r="I1" s="413"/>
      <c r="J1" s="413"/>
      <c r="K1" s="413"/>
      <c r="L1" s="413"/>
      <c r="M1" s="413"/>
      <c r="N1" s="413"/>
      <c r="O1" s="413"/>
      <c r="P1" s="413"/>
      <c r="Q1" s="413"/>
      <c r="R1" s="413"/>
      <c r="S1" s="413"/>
      <c r="T1" s="413"/>
      <c r="U1" s="413"/>
      <c r="V1" s="413"/>
      <c r="W1" s="413"/>
    </row>
    <row r="2" spans="1:23" ht="12.75" customHeight="1">
      <c r="B2" s="414" t="s">
        <v>21</v>
      </c>
      <c r="C2" s="415" t="s">
        <v>187</v>
      </c>
      <c r="D2" s="415"/>
      <c r="E2" s="415"/>
      <c r="F2" s="415"/>
      <c r="G2" s="415"/>
      <c r="H2" s="415"/>
      <c r="I2" s="415"/>
      <c r="J2" s="415"/>
      <c r="K2" s="415"/>
      <c r="L2" s="415"/>
      <c r="M2" s="415"/>
      <c r="N2" s="415"/>
      <c r="O2" s="415"/>
      <c r="P2" s="415"/>
      <c r="Q2" s="415"/>
      <c r="R2" s="415"/>
      <c r="S2" s="415"/>
      <c r="T2" s="415"/>
      <c r="U2" s="415"/>
      <c r="V2" s="415"/>
      <c r="W2" s="415"/>
    </row>
    <row r="3" spans="1:23">
      <c r="B3" s="414"/>
      <c r="C3" s="283" t="s">
        <v>1</v>
      </c>
      <c r="D3" s="283" t="s">
        <v>2</v>
      </c>
      <c r="E3" s="283" t="s">
        <v>3</v>
      </c>
      <c r="F3" s="283" t="s">
        <v>4</v>
      </c>
      <c r="G3" s="283" t="s">
        <v>5</v>
      </c>
      <c r="H3" s="283" t="s">
        <v>14</v>
      </c>
      <c r="I3" s="283" t="s">
        <v>15</v>
      </c>
      <c r="J3" s="283" t="s">
        <v>16</v>
      </c>
      <c r="K3" s="283" t="s">
        <v>17</v>
      </c>
      <c r="L3" s="283" t="s">
        <v>18</v>
      </c>
      <c r="M3" s="283" t="s">
        <v>56</v>
      </c>
      <c r="N3" s="283" t="s">
        <v>57</v>
      </c>
      <c r="O3" s="283" t="s">
        <v>58</v>
      </c>
      <c r="P3" s="283" t="s">
        <v>59</v>
      </c>
      <c r="Q3" s="283" t="s">
        <v>60</v>
      </c>
      <c r="R3" s="283" t="s">
        <v>221</v>
      </c>
      <c r="S3" s="283" t="s">
        <v>222</v>
      </c>
      <c r="T3" s="283" t="s">
        <v>223</v>
      </c>
      <c r="U3" s="283" t="s">
        <v>224</v>
      </c>
      <c r="V3" s="283" t="s">
        <v>225</v>
      </c>
      <c r="W3" s="283" t="s">
        <v>51</v>
      </c>
    </row>
    <row r="4" spans="1:23">
      <c r="A4" s="295"/>
      <c r="B4" s="283">
        <v>0</v>
      </c>
      <c r="C4" s="318">
        <v>2</v>
      </c>
      <c r="D4" s="318">
        <f>'Q2.Dados Operacionais'!$D$14-SUM(D5:D18)</f>
        <v>3</v>
      </c>
      <c r="E4" s="318">
        <f>'Q2.Dados Operacionais'!$D$14-SUM(E5:E18)</f>
        <v>3</v>
      </c>
      <c r="F4" s="318">
        <f>'Q2.Dados Operacionais'!$D$14-SUM(F5:F18)</f>
        <v>3</v>
      </c>
      <c r="G4" s="318">
        <f>'Q2.Dados Operacionais'!$D$14-SUM(G5:G18)</f>
        <v>3</v>
      </c>
      <c r="H4" s="318">
        <f>'Q2.Dados Operacionais'!$D$14-SUM(H5:H18)</f>
        <v>4</v>
      </c>
      <c r="I4" s="318">
        <f>'Q2.Dados Operacionais'!$D$14-SUM(I5:I18)</f>
        <v>3</v>
      </c>
      <c r="J4" s="318">
        <f>'Q2.Dados Operacionais'!$D$14-SUM(J5:J18)</f>
        <v>3</v>
      </c>
      <c r="K4" s="318">
        <f>'Q2.Dados Operacionais'!$D$14-SUM(K5:K18)</f>
        <v>3</v>
      </c>
      <c r="L4" s="318">
        <f>'Q2.Dados Operacionais'!$D$14-SUM(L5:L18)</f>
        <v>3</v>
      </c>
      <c r="M4" s="318">
        <f>'Q2.Dados Operacionais'!$D$14-SUM(M5:M18)</f>
        <v>2</v>
      </c>
      <c r="N4" s="318">
        <f>'Q2.Dados Operacionais'!$D$14-SUM(N5:N18)</f>
        <v>3</v>
      </c>
      <c r="O4" s="318">
        <f>'Q2.Dados Operacionais'!$D$14-SUM(O5:O18)</f>
        <v>3</v>
      </c>
      <c r="P4" s="318">
        <f>'Q2.Dados Operacionais'!$D$14-SUM(P5:P18)</f>
        <v>3</v>
      </c>
      <c r="Q4" s="318">
        <f>'Q2.Dados Operacionais'!$D$14-SUM(Q5:Q18)</f>
        <v>3</v>
      </c>
      <c r="R4" s="318">
        <f>'Q2.Dados Operacionais'!$D$14-SUM(R5:R18)</f>
        <v>4</v>
      </c>
      <c r="S4" s="318">
        <f>'Q2.Dados Operacionais'!$D$14-SUM(S5:S18)</f>
        <v>3</v>
      </c>
      <c r="T4" s="318">
        <f>'Q2.Dados Operacionais'!$D$14-SUM(T5:T18)</f>
        <v>3</v>
      </c>
      <c r="U4" s="318">
        <f>'Q2.Dados Operacionais'!$D$14-SUM(U5:U18)</f>
        <v>3</v>
      </c>
      <c r="V4" s="318">
        <f>'Q2.Dados Operacionais'!$D$14-SUM(V5:V18)</f>
        <v>3</v>
      </c>
      <c r="W4" s="318"/>
    </row>
    <row r="5" spans="1:23">
      <c r="A5" s="295"/>
      <c r="B5" s="283">
        <v>1</v>
      </c>
      <c r="C5" s="318">
        <v>3</v>
      </c>
      <c r="D5" s="318">
        <f>C4</f>
        <v>2</v>
      </c>
      <c r="E5" s="318">
        <f t="shared" ref="E5:T14" si="0">D4</f>
        <v>3</v>
      </c>
      <c r="F5" s="318">
        <f t="shared" si="0"/>
        <v>3</v>
      </c>
      <c r="G5" s="318">
        <f t="shared" si="0"/>
        <v>3</v>
      </c>
      <c r="H5" s="318">
        <f t="shared" si="0"/>
        <v>3</v>
      </c>
      <c r="I5" s="318">
        <f t="shared" si="0"/>
        <v>4</v>
      </c>
      <c r="J5" s="318">
        <f t="shared" si="0"/>
        <v>3</v>
      </c>
      <c r="K5" s="318">
        <f t="shared" si="0"/>
        <v>3</v>
      </c>
      <c r="L5" s="318">
        <f t="shared" si="0"/>
        <v>3</v>
      </c>
      <c r="M5" s="318">
        <f t="shared" si="0"/>
        <v>3</v>
      </c>
      <c r="N5" s="318">
        <f t="shared" si="0"/>
        <v>2</v>
      </c>
      <c r="O5" s="318">
        <f t="shared" si="0"/>
        <v>3</v>
      </c>
      <c r="P5" s="318">
        <f t="shared" si="0"/>
        <v>3</v>
      </c>
      <c r="Q5" s="318">
        <f t="shared" si="0"/>
        <v>3</v>
      </c>
      <c r="R5" s="318">
        <f t="shared" si="0"/>
        <v>3</v>
      </c>
      <c r="S5" s="318">
        <f t="shared" si="0"/>
        <v>4</v>
      </c>
      <c r="T5" s="318">
        <f t="shared" si="0"/>
        <v>3</v>
      </c>
      <c r="U5" s="318">
        <f t="shared" ref="U5:W18" si="1">T4</f>
        <v>3</v>
      </c>
      <c r="V5" s="318">
        <f t="shared" si="1"/>
        <v>3</v>
      </c>
      <c r="W5" s="318">
        <f t="shared" si="1"/>
        <v>3</v>
      </c>
    </row>
    <row r="6" spans="1:23">
      <c r="A6" s="295"/>
      <c r="B6" s="283">
        <v>2</v>
      </c>
      <c r="C6" s="318">
        <v>3</v>
      </c>
      <c r="D6" s="318">
        <f t="shared" ref="D6:D13" si="2">C5</f>
        <v>3</v>
      </c>
      <c r="E6" s="318">
        <f t="shared" si="0"/>
        <v>2</v>
      </c>
      <c r="F6" s="318">
        <f t="shared" si="0"/>
        <v>3</v>
      </c>
      <c r="G6" s="318">
        <f t="shared" si="0"/>
        <v>3</v>
      </c>
      <c r="H6" s="318">
        <f t="shared" si="0"/>
        <v>3</v>
      </c>
      <c r="I6" s="318">
        <f t="shared" si="0"/>
        <v>3</v>
      </c>
      <c r="J6" s="318">
        <f t="shared" si="0"/>
        <v>4</v>
      </c>
      <c r="K6" s="318">
        <f t="shared" si="0"/>
        <v>3</v>
      </c>
      <c r="L6" s="318">
        <f t="shared" si="0"/>
        <v>3</v>
      </c>
      <c r="M6" s="318">
        <f t="shared" si="0"/>
        <v>3</v>
      </c>
      <c r="N6" s="318">
        <f t="shared" si="0"/>
        <v>3</v>
      </c>
      <c r="O6" s="318">
        <f t="shared" si="0"/>
        <v>2</v>
      </c>
      <c r="P6" s="318">
        <f t="shared" si="0"/>
        <v>3</v>
      </c>
      <c r="Q6" s="318">
        <f t="shared" si="0"/>
        <v>3</v>
      </c>
      <c r="R6" s="318">
        <f t="shared" si="0"/>
        <v>3</v>
      </c>
      <c r="S6" s="318">
        <f t="shared" si="0"/>
        <v>3</v>
      </c>
      <c r="T6" s="318">
        <f t="shared" si="0"/>
        <v>4</v>
      </c>
      <c r="U6" s="318">
        <f t="shared" si="1"/>
        <v>3</v>
      </c>
      <c r="V6" s="318">
        <f t="shared" si="1"/>
        <v>3</v>
      </c>
      <c r="W6" s="318">
        <f t="shared" si="1"/>
        <v>3</v>
      </c>
    </row>
    <row r="7" spans="1:23">
      <c r="A7" s="295"/>
      <c r="B7" s="283">
        <v>3</v>
      </c>
      <c r="C7" s="318">
        <v>3</v>
      </c>
      <c r="D7" s="318">
        <f t="shared" si="2"/>
        <v>3</v>
      </c>
      <c r="E7" s="318">
        <f t="shared" si="0"/>
        <v>3</v>
      </c>
      <c r="F7" s="318">
        <f t="shared" si="0"/>
        <v>2</v>
      </c>
      <c r="G7" s="318">
        <f t="shared" si="0"/>
        <v>3</v>
      </c>
      <c r="H7" s="318">
        <f t="shared" si="0"/>
        <v>3</v>
      </c>
      <c r="I7" s="318">
        <f t="shared" si="0"/>
        <v>3</v>
      </c>
      <c r="J7" s="318">
        <f t="shared" si="0"/>
        <v>3</v>
      </c>
      <c r="K7" s="318">
        <f t="shared" si="0"/>
        <v>4</v>
      </c>
      <c r="L7" s="318">
        <f t="shared" si="0"/>
        <v>3</v>
      </c>
      <c r="M7" s="318">
        <f t="shared" si="0"/>
        <v>3</v>
      </c>
      <c r="N7" s="318">
        <f t="shared" si="0"/>
        <v>3</v>
      </c>
      <c r="O7" s="318">
        <f t="shared" si="0"/>
        <v>3</v>
      </c>
      <c r="P7" s="318">
        <f t="shared" si="0"/>
        <v>2</v>
      </c>
      <c r="Q7" s="318">
        <f t="shared" si="0"/>
        <v>3</v>
      </c>
      <c r="R7" s="318">
        <f t="shared" si="0"/>
        <v>3</v>
      </c>
      <c r="S7" s="318">
        <f t="shared" si="0"/>
        <v>3</v>
      </c>
      <c r="T7" s="318">
        <f t="shared" si="0"/>
        <v>3</v>
      </c>
      <c r="U7" s="318">
        <f t="shared" si="1"/>
        <v>4</v>
      </c>
      <c r="V7" s="318">
        <f t="shared" si="1"/>
        <v>3</v>
      </c>
      <c r="W7" s="318">
        <f t="shared" si="1"/>
        <v>3</v>
      </c>
    </row>
    <row r="8" spans="1:23">
      <c r="A8" s="295"/>
      <c r="B8" s="283">
        <v>4</v>
      </c>
      <c r="C8" s="318">
        <v>3</v>
      </c>
      <c r="D8" s="318">
        <f t="shared" si="2"/>
        <v>3</v>
      </c>
      <c r="E8" s="318">
        <f t="shared" si="0"/>
        <v>3</v>
      </c>
      <c r="F8" s="318">
        <f t="shared" si="0"/>
        <v>3</v>
      </c>
      <c r="G8" s="318">
        <f t="shared" si="0"/>
        <v>2</v>
      </c>
      <c r="H8" s="318">
        <f t="shared" si="0"/>
        <v>3</v>
      </c>
      <c r="I8" s="318">
        <f t="shared" si="0"/>
        <v>3</v>
      </c>
      <c r="J8" s="318">
        <f t="shared" si="0"/>
        <v>3</v>
      </c>
      <c r="K8" s="318">
        <f t="shared" si="0"/>
        <v>3</v>
      </c>
      <c r="L8" s="318">
        <f t="shared" si="0"/>
        <v>4</v>
      </c>
      <c r="M8" s="318">
        <f t="shared" si="0"/>
        <v>3</v>
      </c>
      <c r="N8" s="318">
        <f t="shared" si="0"/>
        <v>3</v>
      </c>
      <c r="O8" s="318">
        <f t="shared" si="0"/>
        <v>3</v>
      </c>
      <c r="P8" s="318">
        <f t="shared" si="0"/>
        <v>3</v>
      </c>
      <c r="Q8" s="318">
        <f t="shared" si="0"/>
        <v>2</v>
      </c>
      <c r="R8" s="318">
        <f t="shared" si="0"/>
        <v>3</v>
      </c>
      <c r="S8" s="318">
        <f t="shared" si="0"/>
        <v>3</v>
      </c>
      <c r="T8" s="318">
        <f t="shared" si="0"/>
        <v>3</v>
      </c>
      <c r="U8" s="318">
        <f t="shared" si="1"/>
        <v>3</v>
      </c>
      <c r="V8" s="318">
        <f t="shared" si="1"/>
        <v>4</v>
      </c>
      <c r="W8" s="318">
        <f t="shared" si="1"/>
        <v>3</v>
      </c>
    </row>
    <row r="9" spans="1:23">
      <c r="A9" s="295"/>
      <c r="B9" s="283">
        <v>5</v>
      </c>
      <c r="C9" s="318">
        <v>4</v>
      </c>
      <c r="D9" s="318">
        <f t="shared" si="2"/>
        <v>3</v>
      </c>
      <c r="E9" s="318">
        <f t="shared" si="0"/>
        <v>3</v>
      </c>
      <c r="F9" s="318">
        <f t="shared" si="0"/>
        <v>3</v>
      </c>
      <c r="G9" s="318">
        <f t="shared" si="0"/>
        <v>3</v>
      </c>
      <c r="H9" s="318">
        <f t="shared" si="0"/>
        <v>2</v>
      </c>
      <c r="I9" s="318">
        <f t="shared" si="0"/>
        <v>3</v>
      </c>
      <c r="J9" s="318">
        <f t="shared" si="0"/>
        <v>3</v>
      </c>
      <c r="K9" s="318">
        <f t="shared" si="0"/>
        <v>3</v>
      </c>
      <c r="L9" s="318">
        <f t="shared" si="0"/>
        <v>3</v>
      </c>
      <c r="M9" s="318">
        <f t="shared" si="0"/>
        <v>4</v>
      </c>
      <c r="N9" s="318">
        <f t="shared" si="0"/>
        <v>3</v>
      </c>
      <c r="O9" s="318">
        <f t="shared" si="0"/>
        <v>3</v>
      </c>
      <c r="P9" s="318">
        <f t="shared" si="0"/>
        <v>3</v>
      </c>
      <c r="Q9" s="318">
        <f t="shared" si="0"/>
        <v>3</v>
      </c>
      <c r="R9" s="318">
        <f t="shared" si="0"/>
        <v>2</v>
      </c>
      <c r="S9" s="318">
        <f t="shared" si="0"/>
        <v>3</v>
      </c>
      <c r="T9" s="318">
        <f t="shared" si="0"/>
        <v>3</v>
      </c>
      <c r="U9" s="318">
        <f t="shared" si="1"/>
        <v>3</v>
      </c>
      <c r="V9" s="318">
        <f t="shared" si="1"/>
        <v>3</v>
      </c>
      <c r="W9" s="318">
        <f t="shared" si="1"/>
        <v>4</v>
      </c>
    </row>
    <row r="10" spans="1:23">
      <c r="A10" s="295"/>
      <c r="B10" s="283">
        <v>6</v>
      </c>
      <c r="C10" s="318">
        <v>3</v>
      </c>
      <c r="D10" s="318">
        <f t="shared" si="2"/>
        <v>4</v>
      </c>
      <c r="E10" s="318">
        <f t="shared" si="0"/>
        <v>3</v>
      </c>
      <c r="F10" s="318">
        <f t="shared" si="0"/>
        <v>3</v>
      </c>
      <c r="G10" s="318">
        <f t="shared" si="0"/>
        <v>3</v>
      </c>
      <c r="H10" s="318">
        <f t="shared" si="0"/>
        <v>3</v>
      </c>
      <c r="I10" s="318">
        <f t="shared" si="0"/>
        <v>2</v>
      </c>
      <c r="J10" s="318">
        <f t="shared" si="0"/>
        <v>3</v>
      </c>
      <c r="K10" s="318">
        <f t="shared" si="0"/>
        <v>3</v>
      </c>
      <c r="L10" s="318">
        <f t="shared" si="0"/>
        <v>3</v>
      </c>
      <c r="M10" s="318">
        <f t="shared" si="0"/>
        <v>3</v>
      </c>
      <c r="N10" s="318">
        <f t="shared" si="0"/>
        <v>4</v>
      </c>
      <c r="O10" s="318">
        <f t="shared" si="0"/>
        <v>3</v>
      </c>
      <c r="P10" s="318">
        <f t="shared" si="0"/>
        <v>3</v>
      </c>
      <c r="Q10" s="318">
        <f t="shared" si="0"/>
        <v>3</v>
      </c>
      <c r="R10" s="318">
        <f t="shared" si="0"/>
        <v>3</v>
      </c>
      <c r="S10" s="318">
        <f t="shared" si="0"/>
        <v>2</v>
      </c>
      <c r="T10" s="318">
        <f t="shared" si="0"/>
        <v>3</v>
      </c>
      <c r="U10" s="318">
        <f t="shared" si="1"/>
        <v>3</v>
      </c>
      <c r="V10" s="318">
        <f t="shared" si="1"/>
        <v>3</v>
      </c>
      <c r="W10" s="318">
        <f t="shared" si="1"/>
        <v>3</v>
      </c>
    </row>
    <row r="11" spans="1:23">
      <c r="A11" s="295"/>
      <c r="B11" s="283">
        <v>7</v>
      </c>
      <c r="C11" s="318">
        <v>3</v>
      </c>
      <c r="D11" s="318">
        <f t="shared" si="2"/>
        <v>3</v>
      </c>
      <c r="E11" s="318">
        <f t="shared" si="0"/>
        <v>4</v>
      </c>
      <c r="F11" s="318">
        <f t="shared" si="0"/>
        <v>3</v>
      </c>
      <c r="G11" s="318">
        <f t="shared" si="0"/>
        <v>3</v>
      </c>
      <c r="H11" s="318">
        <f t="shared" si="0"/>
        <v>3</v>
      </c>
      <c r="I11" s="318">
        <f t="shared" si="0"/>
        <v>3</v>
      </c>
      <c r="J11" s="318">
        <f t="shared" si="0"/>
        <v>2</v>
      </c>
      <c r="K11" s="318">
        <f t="shared" si="0"/>
        <v>3</v>
      </c>
      <c r="L11" s="318">
        <f t="shared" si="0"/>
        <v>3</v>
      </c>
      <c r="M11" s="318">
        <f t="shared" si="0"/>
        <v>3</v>
      </c>
      <c r="N11" s="318">
        <f t="shared" si="0"/>
        <v>3</v>
      </c>
      <c r="O11" s="318">
        <f t="shared" si="0"/>
        <v>4</v>
      </c>
      <c r="P11" s="318">
        <f t="shared" si="0"/>
        <v>3</v>
      </c>
      <c r="Q11" s="318">
        <f t="shared" si="0"/>
        <v>3</v>
      </c>
      <c r="R11" s="318">
        <f t="shared" si="0"/>
        <v>3</v>
      </c>
      <c r="S11" s="318">
        <f t="shared" si="0"/>
        <v>3</v>
      </c>
      <c r="T11" s="318">
        <f t="shared" si="0"/>
        <v>2</v>
      </c>
      <c r="U11" s="318">
        <f t="shared" si="1"/>
        <v>3</v>
      </c>
      <c r="V11" s="318">
        <f t="shared" si="1"/>
        <v>3</v>
      </c>
      <c r="W11" s="318">
        <f t="shared" si="1"/>
        <v>3</v>
      </c>
    </row>
    <row r="12" spans="1:23">
      <c r="A12" s="295"/>
      <c r="B12" s="283">
        <v>8</v>
      </c>
      <c r="C12" s="318">
        <v>3</v>
      </c>
      <c r="D12" s="318">
        <f t="shared" si="2"/>
        <v>3</v>
      </c>
      <c r="E12" s="318">
        <f t="shared" si="0"/>
        <v>3</v>
      </c>
      <c r="F12" s="318">
        <f t="shared" si="0"/>
        <v>4</v>
      </c>
      <c r="G12" s="318">
        <f t="shared" si="0"/>
        <v>3</v>
      </c>
      <c r="H12" s="318">
        <f t="shared" si="0"/>
        <v>3</v>
      </c>
      <c r="I12" s="318">
        <f t="shared" si="0"/>
        <v>3</v>
      </c>
      <c r="J12" s="318">
        <f t="shared" si="0"/>
        <v>3</v>
      </c>
      <c r="K12" s="318">
        <f t="shared" si="0"/>
        <v>2</v>
      </c>
      <c r="L12" s="318">
        <f t="shared" si="0"/>
        <v>3</v>
      </c>
      <c r="M12" s="318">
        <f t="shared" si="0"/>
        <v>3</v>
      </c>
      <c r="N12" s="318">
        <f t="shared" si="0"/>
        <v>3</v>
      </c>
      <c r="O12" s="318">
        <f t="shared" si="0"/>
        <v>3</v>
      </c>
      <c r="P12" s="318">
        <f t="shared" si="0"/>
        <v>4</v>
      </c>
      <c r="Q12" s="318">
        <f t="shared" si="0"/>
        <v>3</v>
      </c>
      <c r="R12" s="318">
        <f t="shared" si="0"/>
        <v>3</v>
      </c>
      <c r="S12" s="318">
        <f t="shared" si="0"/>
        <v>3</v>
      </c>
      <c r="T12" s="318">
        <f t="shared" si="0"/>
        <v>3</v>
      </c>
      <c r="U12" s="318">
        <f t="shared" si="1"/>
        <v>2</v>
      </c>
      <c r="V12" s="318">
        <f t="shared" si="1"/>
        <v>3</v>
      </c>
      <c r="W12" s="318">
        <f t="shared" si="1"/>
        <v>3</v>
      </c>
    </row>
    <row r="13" spans="1:23">
      <c r="A13" s="295"/>
      <c r="B13" s="283">
        <v>9</v>
      </c>
      <c r="C13" s="318">
        <v>3</v>
      </c>
      <c r="D13" s="318">
        <f t="shared" si="2"/>
        <v>3</v>
      </c>
      <c r="E13" s="318">
        <f t="shared" si="0"/>
        <v>3</v>
      </c>
      <c r="F13" s="318">
        <f t="shared" si="0"/>
        <v>3</v>
      </c>
      <c r="G13" s="318">
        <f t="shared" si="0"/>
        <v>4</v>
      </c>
      <c r="H13" s="318">
        <f t="shared" si="0"/>
        <v>3</v>
      </c>
      <c r="I13" s="318">
        <f t="shared" si="0"/>
        <v>3</v>
      </c>
      <c r="J13" s="318">
        <f t="shared" si="0"/>
        <v>3</v>
      </c>
      <c r="K13" s="318">
        <f t="shared" si="0"/>
        <v>3</v>
      </c>
      <c r="L13" s="318">
        <f t="shared" si="0"/>
        <v>2</v>
      </c>
      <c r="M13" s="318">
        <f t="shared" si="0"/>
        <v>3</v>
      </c>
      <c r="N13" s="318">
        <f t="shared" si="0"/>
        <v>3</v>
      </c>
      <c r="O13" s="318">
        <f t="shared" si="0"/>
        <v>3</v>
      </c>
      <c r="P13" s="318">
        <f t="shared" si="0"/>
        <v>3</v>
      </c>
      <c r="Q13" s="318">
        <f t="shared" si="0"/>
        <v>4</v>
      </c>
      <c r="R13" s="318">
        <f t="shared" si="0"/>
        <v>3</v>
      </c>
      <c r="S13" s="318">
        <f t="shared" si="0"/>
        <v>3</v>
      </c>
      <c r="T13" s="318">
        <f t="shared" si="0"/>
        <v>3</v>
      </c>
      <c r="U13" s="318">
        <f t="shared" si="1"/>
        <v>3</v>
      </c>
      <c r="V13" s="318">
        <f t="shared" si="1"/>
        <v>2</v>
      </c>
      <c r="W13" s="318">
        <f t="shared" si="1"/>
        <v>3</v>
      </c>
    </row>
    <row r="14" spans="1:23">
      <c r="A14" s="295"/>
      <c r="B14" s="283">
        <v>10</v>
      </c>
      <c r="C14" s="318">
        <v>2</v>
      </c>
      <c r="D14" s="318">
        <v>2</v>
      </c>
      <c r="E14" s="318">
        <v>2</v>
      </c>
      <c r="F14" s="318">
        <v>2</v>
      </c>
      <c r="G14" s="318">
        <v>2</v>
      </c>
      <c r="H14" s="318">
        <v>2</v>
      </c>
      <c r="I14" s="318">
        <v>2</v>
      </c>
      <c r="J14" s="318">
        <v>2</v>
      </c>
      <c r="K14" s="318">
        <v>2</v>
      </c>
      <c r="L14" s="318">
        <v>2</v>
      </c>
      <c r="M14" s="318">
        <f t="shared" si="0"/>
        <v>2</v>
      </c>
      <c r="N14" s="318">
        <v>2</v>
      </c>
      <c r="O14" s="318">
        <v>2</v>
      </c>
      <c r="P14" s="318">
        <v>2</v>
      </c>
      <c r="Q14" s="318">
        <v>2</v>
      </c>
      <c r="R14" s="318">
        <v>2</v>
      </c>
      <c r="S14" s="318">
        <v>2</v>
      </c>
      <c r="T14" s="318">
        <v>2</v>
      </c>
      <c r="U14" s="318">
        <v>2</v>
      </c>
      <c r="V14" s="318">
        <v>2</v>
      </c>
      <c r="W14" s="318">
        <f t="shared" si="1"/>
        <v>2</v>
      </c>
    </row>
    <row r="15" spans="1:23">
      <c r="A15" s="295"/>
      <c r="B15" s="283">
        <v>11</v>
      </c>
      <c r="C15" s="318"/>
      <c r="D15" s="318"/>
      <c r="E15" s="318"/>
      <c r="F15" s="318"/>
      <c r="G15" s="318"/>
      <c r="H15" s="318"/>
      <c r="I15" s="318"/>
      <c r="J15" s="318"/>
      <c r="K15" s="318"/>
      <c r="L15" s="318"/>
      <c r="M15" s="318"/>
      <c r="N15" s="318"/>
      <c r="O15" s="318"/>
      <c r="P15" s="318"/>
      <c r="Q15" s="318"/>
      <c r="R15" s="318"/>
      <c r="S15" s="318"/>
      <c r="T15" s="318"/>
      <c r="U15" s="318"/>
      <c r="V15" s="318"/>
      <c r="W15" s="318">
        <f t="shared" si="1"/>
        <v>2</v>
      </c>
    </row>
    <row r="16" spans="1:23">
      <c r="A16" s="295"/>
      <c r="B16" s="283">
        <v>12</v>
      </c>
      <c r="C16" s="318"/>
      <c r="D16" s="318"/>
      <c r="E16" s="318"/>
      <c r="F16" s="318"/>
      <c r="G16" s="318"/>
      <c r="H16" s="318"/>
      <c r="I16" s="318"/>
      <c r="J16" s="318"/>
      <c r="K16" s="318"/>
      <c r="L16" s="318"/>
      <c r="M16" s="318"/>
      <c r="N16" s="318"/>
      <c r="O16" s="318"/>
      <c r="P16" s="318"/>
      <c r="Q16" s="318"/>
      <c r="R16" s="318"/>
      <c r="S16" s="318"/>
      <c r="T16" s="318"/>
      <c r="U16" s="318"/>
      <c r="V16" s="318"/>
      <c r="W16" s="318">
        <f t="shared" si="1"/>
        <v>0</v>
      </c>
    </row>
    <row r="17" spans="1:23">
      <c r="A17" s="295"/>
      <c r="B17" s="283">
        <v>13</v>
      </c>
      <c r="C17" s="318"/>
      <c r="D17" s="318"/>
      <c r="E17" s="318"/>
      <c r="F17" s="318"/>
      <c r="G17" s="318"/>
      <c r="H17" s="318"/>
      <c r="I17" s="318"/>
      <c r="J17" s="318"/>
      <c r="K17" s="318"/>
      <c r="L17" s="318"/>
      <c r="M17" s="318"/>
      <c r="N17" s="318"/>
      <c r="O17" s="318"/>
      <c r="P17" s="318"/>
      <c r="Q17" s="318"/>
      <c r="R17" s="318"/>
      <c r="S17" s="318"/>
      <c r="T17" s="318"/>
      <c r="U17" s="318"/>
      <c r="V17" s="318"/>
      <c r="W17" s="318">
        <f t="shared" si="1"/>
        <v>0</v>
      </c>
    </row>
    <row r="18" spans="1:23">
      <c r="A18" s="295"/>
      <c r="B18" s="283">
        <v>14</v>
      </c>
      <c r="C18" s="318"/>
      <c r="D18" s="318"/>
      <c r="E18" s="318"/>
      <c r="F18" s="318"/>
      <c r="G18" s="318"/>
      <c r="H18" s="318"/>
      <c r="I18" s="318"/>
      <c r="J18" s="318"/>
      <c r="K18" s="318"/>
      <c r="L18" s="318"/>
      <c r="M18" s="318"/>
      <c r="N18" s="318"/>
      <c r="O18" s="318"/>
      <c r="P18" s="318"/>
      <c r="Q18" s="318"/>
      <c r="R18" s="318"/>
      <c r="S18" s="318"/>
      <c r="T18" s="318"/>
      <c r="U18" s="318"/>
      <c r="V18" s="318"/>
      <c r="W18" s="318">
        <f t="shared" si="1"/>
        <v>0</v>
      </c>
    </row>
    <row r="19" spans="1:23">
      <c r="B19" s="283" t="s">
        <v>12</v>
      </c>
      <c r="C19" s="277">
        <f>SUM(C4:C18)</f>
        <v>32</v>
      </c>
      <c r="D19" s="277">
        <f t="shared" ref="D19:W19" si="3">SUM(D4:D18)</f>
        <v>32</v>
      </c>
      <c r="E19" s="277">
        <f t="shared" si="3"/>
        <v>32</v>
      </c>
      <c r="F19" s="277">
        <f t="shared" si="3"/>
        <v>32</v>
      </c>
      <c r="G19" s="277">
        <f t="shared" si="3"/>
        <v>32</v>
      </c>
      <c r="H19" s="277">
        <f t="shared" si="3"/>
        <v>32</v>
      </c>
      <c r="I19" s="277">
        <f t="shared" si="3"/>
        <v>32</v>
      </c>
      <c r="J19" s="277">
        <f t="shared" si="3"/>
        <v>32</v>
      </c>
      <c r="K19" s="277">
        <f t="shared" si="3"/>
        <v>32</v>
      </c>
      <c r="L19" s="277">
        <f t="shared" si="3"/>
        <v>32</v>
      </c>
      <c r="M19" s="277">
        <f t="shared" si="3"/>
        <v>32</v>
      </c>
      <c r="N19" s="277">
        <f t="shared" si="3"/>
        <v>32</v>
      </c>
      <c r="O19" s="277">
        <f t="shared" si="3"/>
        <v>32</v>
      </c>
      <c r="P19" s="277">
        <f t="shared" si="3"/>
        <v>32</v>
      </c>
      <c r="Q19" s="277">
        <f t="shared" si="3"/>
        <v>32</v>
      </c>
      <c r="R19" s="277">
        <f t="shared" si="3"/>
        <v>32</v>
      </c>
      <c r="S19" s="277">
        <f t="shared" si="3"/>
        <v>32</v>
      </c>
      <c r="T19" s="277">
        <f t="shared" si="3"/>
        <v>32</v>
      </c>
      <c r="U19" s="277">
        <f t="shared" si="3"/>
        <v>32</v>
      </c>
      <c r="V19" s="277">
        <f t="shared" si="3"/>
        <v>32</v>
      </c>
      <c r="W19" s="277">
        <f t="shared" si="3"/>
        <v>32</v>
      </c>
    </row>
    <row r="20" spans="1:23">
      <c r="C20" s="295"/>
      <c r="D20" s="295"/>
      <c r="E20" s="295"/>
      <c r="F20" s="295"/>
      <c r="G20" s="295"/>
      <c r="H20" s="295"/>
      <c r="I20" s="295"/>
      <c r="J20" s="295"/>
      <c r="K20" s="295"/>
      <c r="L20" s="295"/>
      <c r="M20" s="295"/>
      <c r="N20" s="295"/>
      <c r="O20" s="295"/>
      <c r="P20" s="295"/>
      <c r="Q20" s="295"/>
      <c r="R20" s="295"/>
      <c r="S20" s="295"/>
      <c r="T20" s="295"/>
      <c r="U20" s="295"/>
      <c r="V20" s="295"/>
      <c r="W20" s="295"/>
    </row>
    <row r="21" spans="1:23">
      <c r="B21" s="283"/>
      <c r="C21" s="415" t="s">
        <v>22</v>
      </c>
      <c r="D21" s="415"/>
      <c r="E21" s="415"/>
      <c r="F21" s="415"/>
      <c r="G21" s="415"/>
      <c r="H21" s="415"/>
      <c r="I21" s="415"/>
      <c r="J21" s="415"/>
      <c r="K21" s="415"/>
      <c r="L21" s="415"/>
      <c r="M21" s="415"/>
      <c r="N21" s="415"/>
      <c r="O21" s="415"/>
      <c r="P21" s="415"/>
      <c r="Q21" s="415"/>
      <c r="R21" s="415"/>
      <c r="S21" s="415"/>
      <c r="T21" s="415"/>
      <c r="U21" s="415"/>
      <c r="V21" s="415"/>
      <c r="W21" s="415"/>
    </row>
    <row r="22" spans="1:23">
      <c r="B22" s="319" t="s">
        <v>21</v>
      </c>
      <c r="C22" s="283" t="s">
        <v>50</v>
      </c>
      <c r="D22" s="283" t="s">
        <v>1</v>
      </c>
      <c r="E22" s="283" t="s">
        <v>2</v>
      </c>
      <c r="F22" s="283" t="s">
        <v>3</v>
      </c>
      <c r="G22" s="283" t="s">
        <v>4</v>
      </c>
      <c r="H22" s="283" t="s">
        <v>5</v>
      </c>
      <c r="I22" s="283" t="s">
        <v>14</v>
      </c>
      <c r="J22" s="283" t="s">
        <v>15</v>
      </c>
      <c r="K22" s="283" t="s">
        <v>16</v>
      </c>
      <c r="L22" s="283" t="s">
        <v>17</v>
      </c>
      <c r="M22" s="283" t="s">
        <v>18</v>
      </c>
      <c r="N22" s="283" t="s">
        <v>56</v>
      </c>
      <c r="O22" s="283" t="s">
        <v>57</v>
      </c>
      <c r="P22" s="283" t="s">
        <v>58</v>
      </c>
      <c r="Q22" s="283" t="s">
        <v>59</v>
      </c>
      <c r="R22" s="283" t="s">
        <v>60</v>
      </c>
      <c r="S22" s="283" t="s">
        <v>221</v>
      </c>
      <c r="T22" s="283" t="s">
        <v>222</v>
      </c>
      <c r="U22" s="283" t="s">
        <v>223</v>
      </c>
      <c r="V22" s="283" t="s">
        <v>224</v>
      </c>
      <c r="W22" s="283" t="s">
        <v>51</v>
      </c>
    </row>
    <row r="23" spans="1:23">
      <c r="B23" s="283">
        <v>0</v>
      </c>
      <c r="C23" s="318"/>
      <c r="D23" s="318"/>
      <c r="E23" s="318"/>
      <c r="F23" s="318"/>
      <c r="G23" s="318"/>
      <c r="H23" s="318"/>
      <c r="I23" s="318"/>
      <c r="J23" s="318"/>
      <c r="K23" s="318"/>
      <c r="L23" s="318"/>
      <c r="M23" s="318"/>
      <c r="N23" s="318"/>
      <c r="O23" s="318"/>
      <c r="P23" s="318"/>
      <c r="Q23" s="318"/>
      <c r="R23" s="318"/>
      <c r="S23" s="318"/>
      <c r="T23" s="318"/>
      <c r="U23" s="318"/>
      <c r="V23" s="318"/>
      <c r="W23" s="318">
        <f>W4</f>
        <v>0</v>
      </c>
    </row>
    <row r="24" spans="1:23">
      <c r="B24" s="283">
        <v>1</v>
      </c>
      <c r="C24" s="318"/>
      <c r="D24" s="318">
        <f>C4-D5</f>
        <v>0</v>
      </c>
      <c r="E24" s="318">
        <f t="shared" ref="E24:V37" si="4">D4-E5</f>
        <v>0</v>
      </c>
      <c r="F24" s="318">
        <f t="shared" si="4"/>
        <v>0</v>
      </c>
      <c r="G24" s="318">
        <f t="shared" si="4"/>
        <v>0</v>
      </c>
      <c r="H24" s="318">
        <f t="shared" si="4"/>
        <v>0</v>
      </c>
      <c r="I24" s="318">
        <f t="shared" si="4"/>
        <v>0</v>
      </c>
      <c r="J24" s="318">
        <f t="shared" si="4"/>
        <v>0</v>
      </c>
      <c r="K24" s="318">
        <f t="shared" si="4"/>
        <v>0</v>
      </c>
      <c r="L24" s="318">
        <f t="shared" si="4"/>
        <v>0</v>
      </c>
      <c r="M24" s="318">
        <f t="shared" si="4"/>
        <v>0</v>
      </c>
      <c r="N24" s="318">
        <f t="shared" si="4"/>
        <v>0</v>
      </c>
      <c r="O24" s="318">
        <f t="shared" si="4"/>
        <v>0</v>
      </c>
      <c r="P24" s="318">
        <f t="shared" si="4"/>
        <v>0</v>
      </c>
      <c r="Q24" s="318">
        <f t="shared" si="4"/>
        <v>0</v>
      </c>
      <c r="R24" s="318">
        <f t="shared" si="4"/>
        <v>0</v>
      </c>
      <c r="S24" s="318">
        <f t="shared" si="4"/>
        <v>0</v>
      </c>
      <c r="T24" s="318">
        <f t="shared" si="4"/>
        <v>0</v>
      </c>
      <c r="U24" s="318">
        <f t="shared" si="4"/>
        <v>0</v>
      </c>
      <c r="V24" s="318">
        <f t="shared" si="4"/>
        <v>0</v>
      </c>
      <c r="W24" s="318">
        <f t="shared" ref="W24:W37" si="5">W5</f>
        <v>3</v>
      </c>
    </row>
    <row r="25" spans="1:23">
      <c r="B25" s="283">
        <v>2</v>
      </c>
      <c r="C25" s="318"/>
      <c r="D25" s="318">
        <f t="shared" ref="D25:S37" si="6">C5-D6</f>
        <v>0</v>
      </c>
      <c r="E25" s="318">
        <f t="shared" si="6"/>
        <v>0</v>
      </c>
      <c r="F25" s="318">
        <f t="shared" si="6"/>
        <v>0</v>
      </c>
      <c r="G25" s="318">
        <f t="shared" si="6"/>
        <v>0</v>
      </c>
      <c r="H25" s="318">
        <f t="shared" si="6"/>
        <v>0</v>
      </c>
      <c r="I25" s="318">
        <f t="shared" si="6"/>
        <v>0</v>
      </c>
      <c r="J25" s="318">
        <f t="shared" si="6"/>
        <v>0</v>
      </c>
      <c r="K25" s="318">
        <f t="shared" si="6"/>
        <v>0</v>
      </c>
      <c r="L25" s="318">
        <f t="shared" si="6"/>
        <v>0</v>
      </c>
      <c r="M25" s="318">
        <f t="shared" si="6"/>
        <v>0</v>
      </c>
      <c r="N25" s="318">
        <f t="shared" si="6"/>
        <v>0</v>
      </c>
      <c r="O25" s="318">
        <f t="shared" si="6"/>
        <v>0</v>
      </c>
      <c r="P25" s="318">
        <f t="shared" si="6"/>
        <v>0</v>
      </c>
      <c r="Q25" s="318">
        <f t="shared" si="6"/>
        <v>0</v>
      </c>
      <c r="R25" s="318">
        <f t="shared" si="6"/>
        <v>0</v>
      </c>
      <c r="S25" s="318">
        <f t="shared" si="6"/>
        <v>0</v>
      </c>
      <c r="T25" s="318">
        <f t="shared" si="4"/>
        <v>0</v>
      </c>
      <c r="U25" s="318">
        <f t="shared" si="4"/>
        <v>0</v>
      </c>
      <c r="V25" s="318">
        <f t="shared" si="4"/>
        <v>0</v>
      </c>
      <c r="W25" s="318">
        <f t="shared" si="5"/>
        <v>3</v>
      </c>
    </row>
    <row r="26" spans="1:23">
      <c r="B26" s="283">
        <v>3</v>
      </c>
      <c r="C26" s="318"/>
      <c r="D26" s="318">
        <f t="shared" si="6"/>
        <v>0</v>
      </c>
      <c r="E26" s="318">
        <f t="shared" si="4"/>
        <v>0</v>
      </c>
      <c r="F26" s="318">
        <f t="shared" si="4"/>
        <v>0</v>
      </c>
      <c r="G26" s="318">
        <f t="shared" si="4"/>
        <v>0</v>
      </c>
      <c r="H26" s="318">
        <f t="shared" si="4"/>
        <v>0</v>
      </c>
      <c r="I26" s="318">
        <f t="shared" si="4"/>
        <v>0</v>
      </c>
      <c r="J26" s="318">
        <f t="shared" si="4"/>
        <v>0</v>
      </c>
      <c r="K26" s="318">
        <f t="shared" si="4"/>
        <v>0</v>
      </c>
      <c r="L26" s="318">
        <f t="shared" si="4"/>
        <v>0</v>
      </c>
      <c r="M26" s="318">
        <f t="shared" si="4"/>
        <v>0</v>
      </c>
      <c r="N26" s="318">
        <f t="shared" si="4"/>
        <v>0</v>
      </c>
      <c r="O26" s="318">
        <f t="shared" si="4"/>
        <v>0</v>
      </c>
      <c r="P26" s="318">
        <f t="shared" si="4"/>
        <v>0</v>
      </c>
      <c r="Q26" s="318">
        <f t="shared" si="4"/>
        <v>0</v>
      </c>
      <c r="R26" s="318">
        <f t="shared" si="4"/>
        <v>0</v>
      </c>
      <c r="S26" s="318">
        <f t="shared" si="4"/>
        <v>0</v>
      </c>
      <c r="T26" s="318">
        <f t="shared" si="4"/>
        <v>0</v>
      </c>
      <c r="U26" s="318">
        <f t="shared" si="4"/>
        <v>0</v>
      </c>
      <c r="V26" s="318">
        <f t="shared" si="4"/>
        <v>0</v>
      </c>
      <c r="W26" s="318">
        <f t="shared" si="5"/>
        <v>3</v>
      </c>
    </row>
    <row r="27" spans="1:23">
      <c r="B27" s="283">
        <v>4</v>
      </c>
      <c r="C27" s="318"/>
      <c r="D27" s="318">
        <f t="shared" si="6"/>
        <v>0</v>
      </c>
      <c r="E27" s="318">
        <f t="shared" si="4"/>
        <v>0</v>
      </c>
      <c r="F27" s="318">
        <f t="shared" si="4"/>
        <v>0</v>
      </c>
      <c r="G27" s="318">
        <f t="shared" si="4"/>
        <v>0</v>
      </c>
      <c r="H27" s="318">
        <f t="shared" si="4"/>
        <v>0</v>
      </c>
      <c r="I27" s="318">
        <f t="shared" si="4"/>
        <v>0</v>
      </c>
      <c r="J27" s="318">
        <f t="shared" si="4"/>
        <v>0</v>
      </c>
      <c r="K27" s="318">
        <f t="shared" si="4"/>
        <v>0</v>
      </c>
      <c r="L27" s="318">
        <f t="shared" si="4"/>
        <v>0</v>
      </c>
      <c r="M27" s="318">
        <f t="shared" si="4"/>
        <v>0</v>
      </c>
      <c r="N27" s="318">
        <f t="shared" si="4"/>
        <v>0</v>
      </c>
      <c r="O27" s="318">
        <f t="shared" si="4"/>
        <v>0</v>
      </c>
      <c r="P27" s="318">
        <f t="shared" si="4"/>
        <v>0</v>
      </c>
      <c r="Q27" s="318">
        <f t="shared" si="4"/>
        <v>0</v>
      </c>
      <c r="R27" s="318">
        <f t="shared" si="4"/>
        <v>0</v>
      </c>
      <c r="S27" s="318">
        <f t="shared" si="4"/>
        <v>0</v>
      </c>
      <c r="T27" s="318">
        <f t="shared" si="4"/>
        <v>0</v>
      </c>
      <c r="U27" s="318">
        <f t="shared" si="4"/>
        <v>0</v>
      </c>
      <c r="V27" s="318">
        <f t="shared" si="4"/>
        <v>0</v>
      </c>
      <c r="W27" s="318">
        <f t="shared" si="5"/>
        <v>3</v>
      </c>
    </row>
    <row r="28" spans="1:23">
      <c r="B28" s="283">
        <v>5</v>
      </c>
      <c r="C28" s="318"/>
      <c r="D28" s="318">
        <f t="shared" si="6"/>
        <v>0</v>
      </c>
      <c r="E28" s="318">
        <f t="shared" si="4"/>
        <v>0</v>
      </c>
      <c r="F28" s="318">
        <f t="shared" si="4"/>
        <v>0</v>
      </c>
      <c r="G28" s="318">
        <f t="shared" si="4"/>
        <v>0</v>
      </c>
      <c r="H28" s="318">
        <f t="shared" si="4"/>
        <v>0</v>
      </c>
      <c r="I28" s="318">
        <f t="shared" si="4"/>
        <v>0</v>
      </c>
      <c r="J28" s="318">
        <f t="shared" si="4"/>
        <v>0</v>
      </c>
      <c r="K28" s="318">
        <f t="shared" si="4"/>
        <v>0</v>
      </c>
      <c r="L28" s="318">
        <f t="shared" si="4"/>
        <v>0</v>
      </c>
      <c r="M28" s="318">
        <f t="shared" si="4"/>
        <v>0</v>
      </c>
      <c r="N28" s="318">
        <f t="shared" si="4"/>
        <v>0</v>
      </c>
      <c r="O28" s="318">
        <f t="shared" si="4"/>
        <v>0</v>
      </c>
      <c r="P28" s="318">
        <f t="shared" si="4"/>
        <v>0</v>
      </c>
      <c r="Q28" s="318">
        <f t="shared" si="4"/>
        <v>0</v>
      </c>
      <c r="R28" s="318">
        <f t="shared" si="4"/>
        <v>0</v>
      </c>
      <c r="S28" s="318">
        <f t="shared" si="4"/>
        <v>0</v>
      </c>
      <c r="T28" s="318">
        <f t="shared" si="4"/>
        <v>0</v>
      </c>
      <c r="U28" s="318">
        <f t="shared" si="4"/>
        <v>0</v>
      </c>
      <c r="V28" s="318">
        <f t="shared" si="4"/>
        <v>0</v>
      </c>
      <c r="W28" s="318">
        <f t="shared" si="5"/>
        <v>4</v>
      </c>
    </row>
    <row r="29" spans="1:23">
      <c r="B29" s="283">
        <v>6</v>
      </c>
      <c r="C29" s="318"/>
      <c r="D29" s="318">
        <f t="shared" si="6"/>
        <v>0</v>
      </c>
      <c r="E29" s="318">
        <f t="shared" si="4"/>
        <v>0</v>
      </c>
      <c r="F29" s="318">
        <f t="shared" si="4"/>
        <v>0</v>
      </c>
      <c r="G29" s="318">
        <f t="shared" si="4"/>
        <v>0</v>
      </c>
      <c r="H29" s="318">
        <f t="shared" si="4"/>
        <v>0</v>
      </c>
      <c r="I29" s="318">
        <f t="shared" si="4"/>
        <v>0</v>
      </c>
      <c r="J29" s="318">
        <f t="shared" si="4"/>
        <v>0</v>
      </c>
      <c r="K29" s="318">
        <f t="shared" si="4"/>
        <v>0</v>
      </c>
      <c r="L29" s="318">
        <f t="shared" si="4"/>
        <v>0</v>
      </c>
      <c r="M29" s="318">
        <f t="shared" si="4"/>
        <v>0</v>
      </c>
      <c r="N29" s="318">
        <f t="shared" si="4"/>
        <v>0</v>
      </c>
      <c r="O29" s="318">
        <f t="shared" si="4"/>
        <v>0</v>
      </c>
      <c r="P29" s="318">
        <f t="shared" si="4"/>
        <v>0</v>
      </c>
      <c r="Q29" s="318">
        <f t="shared" si="4"/>
        <v>0</v>
      </c>
      <c r="R29" s="318">
        <f t="shared" si="4"/>
        <v>0</v>
      </c>
      <c r="S29" s="318">
        <f t="shared" si="4"/>
        <v>0</v>
      </c>
      <c r="T29" s="318">
        <f t="shared" si="4"/>
        <v>0</v>
      </c>
      <c r="U29" s="318">
        <f t="shared" si="4"/>
        <v>0</v>
      </c>
      <c r="V29" s="318">
        <f t="shared" si="4"/>
        <v>0</v>
      </c>
      <c r="W29" s="318">
        <f t="shared" si="5"/>
        <v>3</v>
      </c>
    </row>
    <row r="30" spans="1:23">
      <c r="B30" s="283">
        <v>7</v>
      </c>
      <c r="C30" s="318"/>
      <c r="D30" s="318">
        <f t="shared" si="6"/>
        <v>0</v>
      </c>
      <c r="E30" s="318">
        <f t="shared" si="4"/>
        <v>0</v>
      </c>
      <c r="F30" s="318">
        <f t="shared" si="4"/>
        <v>0</v>
      </c>
      <c r="G30" s="318">
        <f t="shared" si="4"/>
        <v>0</v>
      </c>
      <c r="H30" s="318">
        <f t="shared" si="4"/>
        <v>0</v>
      </c>
      <c r="I30" s="318">
        <f t="shared" si="4"/>
        <v>0</v>
      </c>
      <c r="J30" s="318">
        <f t="shared" si="4"/>
        <v>0</v>
      </c>
      <c r="K30" s="318">
        <f t="shared" si="4"/>
        <v>0</v>
      </c>
      <c r="L30" s="318">
        <f t="shared" si="4"/>
        <v>0</v>
      </c>
      <c r="M30" s="318">
        <f t="shared" si="4"/>
        <v>0</v>
      </c>
      <c r="N30" s="318">
        <f t="shared" si="4"/>
        <v>0</v>
      </c>
      <c r="O30" s="318">
        <f t="shared" si="4"/>
        <v>0</v>
      </c>
      <c r="P30" s="318">
        <f t="shared" si="4"/>
        <v>0</v>
      </c>
      <c r="Q30" s="318">
        <f t="shared" si="4"/>
        <v>0</v>
      </c>
      <c r="R30" s="318">
        <f t="shared" si="4"/>
        <v>0</v>
      </c>
      <c r="S30" s="318">
        <f t="shared" si="4"/>
        <v>0</v>
      </c>
      <c r="T30" s="318">
        <f t="shared" si="4"/>
        <v>0</v>
      </c>
      <c r="U30" s="318">
        <f t="shared" si="4"/>
        <v>0</v>
      </c>
      <c r="V30" s="318">
        <f t="shared" si="4"/>
        <v>0</v>
      </c>
      <c r="W30" s="318">
        <f t="shared" si="5"/>
        <v>3</v>
      </c>
    </row>
    <row r="31" spans="1:23">
      <c r="B31" s="283">
        <v>8</v>
      </c>
      <c r="C31" s="318"/>
      <c r="D31" s="318">
        <f t="shared" si="6"/>
        <v>0</v>
      </c>
      <c r="E31" s="318">
        <f t="shared" si="4"/>
        <v>0</v>
      </c>
      <c r="F31" s="318">
        <f t="shared" si="4"/>
        <v>0</v>
      </c>
      <c r="G31" s="318">
        <f t="shared" si="4"/>
        <v>0</v>
      </c>
      <c r="H31" s="318">
        <f t="shared" si="4"/>
        <v>0</v>
      </c>
      <c r="I31" s="318">
        <f t="shared" si="4"/>
        <v>0</v>
      </c>
      <c r="J31" s="318">
        <f t="shared" si="4"/>
        <v>0</v>
      </c>
      <c r="K31" s="318">
        <f t="shared" si="4"/>
        <v>0</v>
      </c>
      <c r="L31" s="318">
        <f t="shared" si="4"/>
        <v>0</v>
      </c>
      <c r="M31" s="318">
        <f t="shared" si="4"/>
        <v>0</v>
      </c>
      <c r="N31" s="318">
        <f t="shared" si="4"/>
        <v>0</v>
      </c>
      <c r="O31" s="318">
        <f t="shared" si="4"/>
        <v>0</v>
      </c>
      <c r="P31" s="318">
        <f t="shared" si="4"/>
        <v>0</v>
      </c>
      <c r="Q31" s="318">
        <f t="shared" si="4"/>
        <v>0</v>
      </c>
      <c r="R31" s="318">
        <f t="shared" si="4"/>
        <v>0</v>
      </c>
      <c r="S31" s="318">
        <f t="shared" si="4"/>
        <v>0</v>
      </c>
      <c r="T31" s="318">
        <f t="shared" si="4"/>
        <v>0</v>
      </c>
      <c r="U31" s="318">
        <f t="shared" si="4"/>
        <v>0</v>
      </c>
      <c r="V31" s="318">
        <f t="shared" si="4"/>
        <v>0</v>
      </c>
      <c r="W31" s="318">
        <f t="shared" si="5"/>
        <v>3</v>
      </c>
    </row>
    <row r="32" spans="1:23">
      <c r="B32" s="283">
        <v>9</v>
      </c>
      <c r="C32" s="318"/>
      <c r="D32" s="318">
        <f t="shared" si="6"/>
        <v>0</v>
      </c>
      <c r="E32" s="318">
        <f t="shared" si="4"/>
        <v>0</v>
      </c>
      <c r="F32" s="318">
        <f t="shared" si="4"/>
        <v>0</v>
      </c>
      <c r="G32" s="318">
        <f t="shared" si="4"/>
        <v>0</v>
      </c>
      <c r="H32" s="318">
        <f t="shared" si="4"/>
        <v>0</v>
      </c>
      <c r="I32" s="318">
        <f t="shared" si="4"/>
        <v>0</v>
      </c>
      <c r="J32" s="318">
        <f t="shared" si="4"/>
        <v>0</v>
      </c>
      <c r="K32" s="318">
        <f t="shared" si="4"/>
        <v>0</v>
      </c>
      <c r="L32" s="318">
        <f t="shared" si="4"/>
        <v>0</v>
      </c>
      <c r="M32" s="318">
        <f t="shared" si="4"/>
        <v>0</v>
      </c>
      <c r="N32" s="318">
        <f t="shared" si="4"/>
        <v>0</v>
      </c>
      <c r="O32" s="318">
        <f t="shared" si="4"/>
        <v>0</v>
      </c>
      <c r="P32" s="318">
        <f t="shared" si="4"/>
        <v>0</v>
      </c>
      <c r="Q32" s="318">
        <f t="shared" si="4"/>
        <v>0</v>
      </c>
      <c r="R32" s="318">
        <f t="shared" si="4"/>
        <v>0</v>
      </c>
      <c r="S32" s="318">
        <f t="shared" si="4"/>
        <v>0</v>
      </c>
      <c r="T32" s="318">
        <f t="shared" si="4"/>
        <v>0</v>
      </c>
      <c r="U32" s="318">
        <f t="shared" si="4"/>
        <v>0</v>
      </c>
      <c r="V32" s="318">
        <f t="shared" si="4"/>
        <v>0</v>
      </c>
      <c r="W32" s="318">
        <f t="shared" si="5"/>
        <v>3</v>
      </c>
    </row>
    <row r="33" spans="2:25">
      <c r="B33" s="283">
        <v>10</v>
      </c>
      <c r="C33" s="318"/>
      <c r="D33" s="318">
        <f t="shared" si="6"/>
        <v>1</v>
      </c>
      <c r="E33" s="318">
        <f t="shared" si="4"/>
        <v>1</v>
      </c>
      <c r="F33" s="318">
        <f t="shared" si="4"/>
        <v>1</v>
      </c>
      <c r="G33" s="318">
        <f t="shared" si="4"/>
        <v>1</v>
      </c>
      <c r="H33" s="318">
        <f t="shared" si="4"/>
        <v>2</v>
      </c>
      <c r="I33" s="318">
        <f t="shared" si="4"/>
        <v>1</v>
      </c>
      <c r="J33" s="318">
        <f t="shared" si="4"/>
        <v>1</v>
      </c>
      <c r="K33" s="318">
        <f t="shared" si="4"/>
        <v>1</v>
      </c>
      <c r="L33" s="318">
        <f t="shared" si="4"/>
        <v>1</v>
      </c>
      <c r="M33" s="318">
        <f t="shared" si="4"/>
        <v>0</v>
      </c>
      <c r="N33" s="318">
        <f t="shared" si="4"/>
        <v>1</v>
      </c>
      <c r="O33" s="318">
        <f t="shared" si="4"/>
        <v>1</v>
      </c>
      <c r="P33" s="318">
        <f t="shared" si="4"/>
        <v>1</v>
      </c>
      <c r="Q33" s="318">
        <f t="shared" si="4"/>
        <v>1</v>
      </c>
      <c r="R33" s="318">
        <f t="shared" si="4"/>
        <v>2</v>
      </c>
      <c r="S33" s="318">
        <f t="shared" si="4"/>
        <v>1</v>
      </c>
      <c r="T33" s="318">
        <f t="shared" si="4"/>
        <v>1</v>
      </c>
      <c r="U33" s="318">
        <f t="shared" si="4"/>
        <v>1</v>
      </c>
      <c r="V33" s="318">
        <f t="shared" si="4"/>
        <v>1</v>
      </c>
      <c r="W33" s="318">
        <f t="shared" si="5"/>
        <v>2</v>
      </c>
    </row>
    <row r="34" spans="2:25">
      <c r="B34" s="283">
        <v>11</v>
      </c>
      <c r="C34" s="318"/>
      <c r="D34" s="318">
        <f t="shared" si="6"/>
        <v>2</v>
      </c>
      <c r="E34" s="318">
        <f t="shared" si="4"/>
        <v>2</v>
      </c>
      <c r="F34" s="318">
        <f t="shared" si="4"/>
        <v>2</v>
      </c>
      <c r="G34" s="318">
        <f t="shared" si="4"/>
        <v>2</v>
      </c>
      <c r="H34" s="318">
        <f t="shared" si="4"/>
        <v>2</v>
      </c>
      <c r="I34" s="318">
        <f t="shared" si="4"/>
        <v>2</v>
      </c>
      <c r="J34" s="318">
        <f t="shared" si="4"/>
        <v>2</v>
      </c>
      <c r="K34" s="318">
        <f t="shared" si="4"/>
        <v>2</v>
      </c>
      <c r="L34" s="318">
        <f t="shared" si="4"/>
        <v>2</v>
      </c>
      <c r="M34" s="318">
        <f t="shared" si="4"/>
        <v>2</v>
      </c>
      <c r="N34" s="318">
        <f t="shared" si="4"/>
        <v>2</v>
      </c>
      <c r="O34" s="318">
        <f t="shared" si="4"/>
        <v>2</v>
      </c>
      <c r="P34" s="318">
        <f t="shared" si="4"/>
        <v>2</v>
      </c>
      <c r="Q34" s="318">
        <f t="shared" si="4"/>
        <v>2</v>
      </c>
      <c r="R34" s="318">
        <f t="shared" si="4"/>
        <v>2</v>
      </c>
      <c r="S34" s="318">
        <f t="shared" si="4"/>
        <v>2</v>
      </c>
      <c r="T34" s="318">
        <f t="shared" si="4"/>
        <v>2</v>
      </c>
      <c r="U34" s="318">
        <f t="shared" si="4"/>
        <v>2</v>
      </c>
      <c r="V34" s="318">
        <f t="shared" si="4"/>
        <v>2</v>
      </c>
      <c r="W34" s="318">
        <f t="shared" si="5"/>
        <v>2</v>
      </c>
    </row>
    <row r="35" spans="2:25">
      <c r="B35" s="283">
        <v>12</v>
      </c>
      <c r="C35" s="318"/>
      <c r="D35" s="318">
        <f t="shared" si="6"/>
        <v>0</v>
      </c>
      <c r="E35" s="318">
        <f t="shared" si="4"/>
        <v>0</v>
      </c>
      <c r="F35" s="318">
        <f t="shared" si="4"/>
        <v>0</v>
      </c>
      <c r="G35" s="318">
        <f t="shared" si="4"/>
        <v>0</v>
      </c>
      <c r="H35" s="318">
        <f t="shared" si="4"/>
        <v>0</v>
      </c>
      <c r="I35" s="318">
        <f t="shared" si="4"/>
        <v>0</v>
      </c>
      <c r="J35" s="318">
        <f t="shared" si="4"/>
        <v>0</v>
      </c>
      <c r="K35" s="318">
        <f t="shared" si="4"/>
        <v>0</v>
      </c>
      <c r="L35" s="318">
        <f t="shared" si="4"/>
        <v>0</v>
      </c>
      <c r="M35" s="318">
        <f t="shared" si="4"/>
        <v>0</v>
      </c>
      <c r="N35" s="318">
        <f t="shared" si="4"/>
        <v>0</v>
      </c>
      <c r="O35" s="318">
        <f t="shared" si="4"/>
        <v>0</v>
      </c>
      <c r="P35" s="318">
        <f t="shared" si="4"/>
        <v>0</v>
      </c>
      <c r="Q35" s="318">
        <f t="shared" si="4"/>
        <v>0</v>
      </c>
      <c r="R35" s="318">
        <f t="shared" si="4"/>
        <v>0</v>
      </c>
      <c r="S35" s="318">
        <f t="shared" si="4"/>
        <v>0</v>
      </c>
      <c r="T35" s="318">
        <f t="shared" si="4"/>
        <v>0</v>
      </c>
      <c r="U35" s="318">
        <f t="shared" si="4"/>
        <v>0</v>
      </c>
      <c r="V35" s="318">
        <f t="shared" si="4"/>
        <v>0</v>
      </c>
      <c r="W35" s="318">
        <f t="shared" si="5"/>
        <v>0</v>
      </c>
    </row>
    <row r="36" spans="2:25">
      <c r="B36" s="283">
        <v>13</v>
      </c>
      <c r="C36" s="318"/>
      <c r="D36" s="318">
        <f t="shared" si="6"/>
        <v>0</v>
      </c>
      <c r="E36" s="318">
        <f t="shared" si="4"/>
        <v>0</v>
      </c>
      <c r="F36" s="318">
        <f t="shared" si="4"/>
        <v>0</v>
      </c>
      <c r="G36" s="318">
        <f t="shared" si="4"/>
        <v>0</v>
      </c>
      <c r="H36" s="318">
        <f t="shared" si="4"/>
        <v>0</v>
      </c>
      <c r="I36" s="318">
        <f t="shared" si="4"/>
        <v>0</v>
      </c>
      <c r="J36" s="318">
        <f t="shared" si="4"/>
        <v>0</v>
      </c>
      <c r="K36" s="318">
        <f t="shared" si="4"/>
        <v>0</v>
      </c>
      <c r="L36" s="318">
        <f t="shared" si="4"/>
        <v>0</v>
      </c>
      <c r="M36" s="318">
        <f t="shared" si="4"/>
        <v>0</v>
      </c>
      <c r="N36" s="318">
        <f t="shared" si="4"/>
        <v>0</v>
      </c>
      <c r="O36" s="318">
        <f t="shared" si="4"/>
        <v>0</v>
      </c>
      <c r="P36" s="318">
        <f t="shared" si="4"/>
        <v>0</v>
      </c>
      <c r="Q36" s="318">
        <f t="shared" si="4"/>
        <v>0</v>
      </c>
      <c r="R36" s="318">
        <f t="shared" si="4"/>
        <v>0</v>
      </c>
      <c r="S36" s="318">
        <f t="shared" si="4"/>
        <v>0</v>
      </c>
      <c r="T36" s="318">
        <f t="shared" si="4"/>
        <v>0</v>
      </c>
      <c r="U36" s="318">
        <f t="shared" si="4"/>
        <v>0</v>
      </c>
      <c r="V36" s="318">
        <f t="shared" si="4"/>
        <v>0</v>
      </c>
      <c r="W36" s="318">
        <f t="shared" si="5"/>
        <v>0</v>
      </c>
    </row>
    <row r="37" spans="2:25">
      <c r="B37" s="283">
        <v>14</v>
      </c>
      <c r="C37" s="318"/>
      <c r="D37" s="318">
        <f t="shared" si="6"/>
        <v>0</v>
      </c>
      <c r="E37" s="318">
        <f t="shared" si="4"/>
        <v>0</v>
      </c>
      <c r="F37" s="318">
        <f t="shared" si="4"/>
        <v>0</v>
      </c>
      <c r="G37" s="318">
        <f t="shared" si="4"/>
        <v>0</v>
      </c>
      <c r="H37" s="318">
        <f t="shared" si="4"/>
        <v>0</v>
      </c>
      <c r="I37" s="318">
        <f t="shared" si="4"/>
        <v>0</v>
      </c>
      <c r="J37" s="318">
        <f t="shared" si="4"/>
        <v>0</v>
      </c>
      <c r="K37" s="318">
        <f t="shared" si="4"/>
        <v>0</v>
      </c>
      <c r="L37" s="318">
        <f t="shared" si="4"/>
        <v>0</v>
      </c>
      <c r="M37" s="318">
        <f t="shared" si="4"/>
        <v>0</v>
      </c>
      <c r="N37" s="318">
        <f t="shared" si="4"/>
        <v>0</v>
      </c>
      <c r="O37" s="318">
        <f t="shared" si="4"/>
        <v>0</v>
      </c>
      <c r="P37" s="318">
        <f t="shared" si="4"/>
        <v>0</v>
      </c>
      <c r="Q37" s="318">
        <f t="shared" si="4"/>
        <v>0</v>
      </c>
      <c r="R37" s="318">
        <f t="shared" si="4"/>
        <v>0</v>
      </c>
      <c r="S37" s="318">
        <f t="shared" si="4"/>
        <v>0</v>
      </c>
      <c r="T37" s="318">
        <f t="shared" si="4"/>
        <v>0</v>
      </c>
      <c r="U37" s="318">
        <f t="shared" si="4"/>
        <v>0</v>
      </c>
      <c r="V37" s="318">
        <f t="shared" si="4"/>
        <v>0</v>
      </c>
      <c r="W37" s="318">
        <f t="shared" si="5"/>
        <v>0</v>
      </c>
    </row>
    <row r="38" spans="2:25">
      <c r="B38" s="283"/>
      <c r="C38" s="277">
        <v>0</v>
      </c>
      <c r="D38" s="277">
        <v>0</v>
      </c>
      <c r="E38" s="277">
        <v>0</v>
      </c>
      <c r="F38" s="277">
        <v>0</v>
      </c>
      <c r="G38" s="277">
        <v>0</v>
      </c>
      <c r="H38" s="277">
        <v>0</v>
      </c>
      <c r="I38" s="277">
        <v>4</v>
      </c>
      <c r="J38" s="277">
        <v>0</v>
      </c>
      <c r="K38" s="277">
        <v>4</v>
      </c>
      <c r="L38" s="277">
        <v>4</v>
      </c>
      <c r="M38" s="277">
        <v>9</v>
      </c>
      <c r="N38" s="277">
        <v>0</v>
      </c>
      <c r="O38" s="277">
        <v>0</v>
      </c>
      <c r="P38" s="277">
        <v>0</v>
      </c>
      <c r="Q38" s="277">
        <v>0</v>
      </c>
      <c r="R38" s="277">
        <v>0</v>
      </c>
      <c r="S38" s="277">
        <v>0</v>
      </c>
      <c r="T38" s="277">
        <v>9</v>
      </c>
      <c r="U38" s="277">
        <v>0</v>
      </c>
      <c r="V38" s="277">
        <v>0</v>
      </c>
      <c r="W38" s="277">
        <v>21</v>
      </c>
      <c r="Y38" s="295"/>
    </row>
    <row r="39" spans="2:25">
      <c r="C39" s="295"/>
      <c r="D39" s="295"/>
      <c r="E39" s="295"/>
      <c r="F39" s="295"/>
      <c r="G39" s="295"/>
      <c r="H39" s="295"/>
      <c r="I39" s="295"/>
      <c r="J39" s="295"/>
      <c r="K39" s="295"/>
      <c r="L39" s="295"/>
      <c r="M39" s="295"/>
      <c r="N39" s="295"/>
      <c r="O39" s="295"/>
      <c r="P39" s="295"/>
      <c r="Q39" s="295"/>
      <c r="R39" s="295"/>
      <c r="S39" s="295"/>
      <c r="T39" s="295"/>
      <c r="U39" s="295"/>
      <c r="V39" s="295"/>
      <c r="W39" s="295"/>
    </row>
    <row r="40" spans="2:25">
      <c r="B40" s="415" t="s">
        <v>186</v>
      </c>
      <c r="C40" s="415"/>
      <c r="D40" s="415"/>
      <c r="E40" s="415"/>
      <c r="F40" s="415"/>
      <c r="G40" s="415"/>
      <c r="H40" s="415"/>
      <c r="I40" s="415"/>
      <c r="J40" s="415"/>
      <c r="K40" s="415"/>
      <c r="L40" s="415"/>
      <c r="M40" s="415"/>
      <c r="N40" s="415"/>
      <c r="O40" s="415"/>
      <c r="P40" s="415"/>
      <c r="Q40" s="415"/>
      <c r="R40" s="415"/>
      <c r="S40" s="415"/>
      <c r="T40" s="415"/>
      <c r="U40" s="415"/>
      <c r="V40" s="415"/>
    </row>
    <row r="41" spans="2:25">
      <c r="B41" s="319" t="s">
        <v>21</v>
      </c>
      <c r="C41" s="283" t="s">
        <v>50</v>
      </c>
      <c r="D41" s="283" t="s">
        <v>1</v>
      </c>
      <c r="E41" s="283" t="s">
        <v>2</v>
      </c>
      <c r="F41" s="283" t="s">
        <v>3</v>
      </c>
      <c r="G41" s="283" t="s">
        <v>4</v>
      </c>
      <c r="H41" s="283" t="s">
        <v>5</v>
      </c>
      <c r="I41" s="283" t="s">
        <v>14</v>
      </c>
      <c r="J41" s="283" t="s">
        <v>15</v>
      </c>
      <c r="K41" s="283" t="s">
        <v>16</v>
      </c>
      <c r="L41" s="283" t="s">
        <v>17</v>
      </c>
      <c r="M41" s="283" t="s">
        <v>18</v>
      </c>
      <c r="N41" s="283" t="s">
        <v>56</v>
      </c>
      <c r="O41" s="283" t="s">
        <v>57</v>
      </c>
      <c r="P41" s="283" t="s">
        <v>58</v>
      </c>
      <c r="Q41" s="283" t="s">
        <v>59</v>
      </c>
      <c r="R41" s="283" t="s">
        <v>60</v>
      </c>
      <c r="S41" s="283" t="s">
        <v>221</v>
      </c>
      <c r="T41" s="283" t="s">
        <v>222</v>
      </c>
      <c r="U41" s="283" t="s">
        <v>223</v>
      </c>
      <c r="V41" s="283" t="s">
        <v>224</v>
      </c>
    </row>
    <row r="42" spans="2:25">
      <c r="B42" s="283" t="s">
        <v>185</v>
      </c>
      <c r="C42" s="318">
        <f>C4</f>
        <v>2</v>
      </c>
      <c r="D42" s="318">
        <f t="shared" ref="D42:V42" si="7">D4</f>
        <v>3</v>
      </c>
      <c r="E42" s="318">
        <f t="shared" si="7"/>
        <v>3</v>
      </c>
      <c r="F42" s="318">
        <f t="shared" si="7"/>
        <v>3</v>
      </c>
      <c r="G42" s="318">
        <f t="shared" si="7"/>
        <v>3</v>
      </c>
      <c r="H42" s="318">
        <f t="shared" si="7"/>
        <v>4</v>
      </c>
      <c r="I42" s="318">
        <f t="shared" si="7"/>
        <v>3</v>
      </c>
      <c r="J42" s="318">
        <f t="shared" si="7"/>
        <v>3</v>
      </c>
      <c r="K42" s="318">
        <f t="shared" si="7"/>
        <v>3</v>
      </c>
      <c r="L42" s="318">
        <f t="shared" si="7"/>
        <v>3</v>
      </c>
      <c r="M42" s="318">
        <f t="shared" si="7"/>
        <v>2</v>
      </c>
      <c r="N42" s="318">
        <f t="shared" si="7"/>
        <v>3</v>
      </c>
      <c r="O42" s="318">
        <f t="shared" si="7"/>
        <v>3</v>
      </c>
      <c r="P42" s="318">
        <f t="shared" si="7"/>
        <v>3</v>
      </c>
      <c r="Q42" s="318">
        <f t="shared" si="7"/>
        <v>3</v>
      </c>
      <c r="R42" s="318">
        <f t="shared" si="7"/>
        <v>4</v>
      </c>
      <c r="S42" s="318">
        <f t="shared" si="7"/>
        <v>3</v>
      </c>
      <c r="T42" s="318">
        <f t="shared" si="7"/>
        <v>3</v>
      </c>
      <c r="U42" s="318">
        <f t="shared" si="7"/>
        <v>3</v>
      </c>
      <c r="V42" s="318">
        <f t="shared" si="7"/>
        <v>3</v>
      </c>
    </row>
    <row r="43" spans="2:25">
      <c r="B43" s="283" t="s">
        <v>214</v>
      </c>
      <c r="C43" s="318">
        <f>SUM(C5:C18)</f>
        <v>30</v>
      </c>
      <c r="D43" s="320"/>
      <c r="E43" s="321"/>
      <c r="F43" s="321"/>
      <c r="G43" s="321"/>
      <c r="H43" s="321"/>
      <c r="I43" s="321"/>
      <c r="J43" s="321"/>
      <c r="K43" s="321"/>
      <c r="L43" s="321"/>
      <c r="M43" s="321"/>
      <c r="N43" s="321"/>
      <c r="O43" s="321"/>
      <c r="P43" s="321"/>
      <c r="Q43" s="321"/>
      <c r="R43" s="321"/>
      <c r="S43" s="321"/>
      <c r="T43" s="321"/>
      <c r="U43" s="321"/>
      <c r="V43" s="321"/>
    </row>
    <row r="45" spans="2:25">
      <c r="C45" s="416" t="s">
        <v>107</v>
      </c>
      <c r="D45" s="417"/>
      <c r="E45" s="417"/>
      <c r="F45" s="417"/>
      <c r="G45" s="417"/>
      <c r="H45" s="417"/>
      <c r="I45" s="417"/>
      <c r="J45" s="417"/>
      <c r="K45" s="417"/>
      <c r="L45" s="417"/>
      <c r="M45" s="417"/>
      <c r="N45" s="417"/>
      <c r="O45" s="417"/>
      <c r="P45" s="417"/>
      <c r="Q45" s="417"/>
      <c r="R45" s="417"/>
      <c r="S45" s="417"/>
      <c r="T45" s="417"/>
      <c r="U45" s="417"/>
      <c r="V45" s="418"/>
    </row>
    <row r="46" spans="2:25">
      <c r="C46" s="283" t="s">
        <v>1</v>
      </c>
      <c r="D46" s="283" t="s">
        <v>2</v>
      </c>
      <c r="E46" s="283" t="s">
        <v>3</v>
      </c>
      <c r="F46" s="283" t="s">
        <v>4</v>
      </c>
      <c r="G46" s="283" t="s">
        <v>5</v>
      </c>
      <c r="H46" s="283" t="s">
        <v>14</v>
      </c>
      <c r="I46" s="283" t="s">
        <v>15</v>
      </c>
      <c r="J46" s="283" t="s">
        <v>16</v>
      </c>
      <c r="K46" s="283" t="s">
        <v>17</v>
      </c>
      <c r="L46" s="283" t="s">
        <v>18</v>
      </c>
      <c r="M46" s="283" t="s">
        <v>56</v>
      </c>
      <c r="N46" s="283" t="s">
        <v>57</v>
      </c>
      <c r="O46" s="283" t="s">
        <v>58</v>
      </c>
      <c r="P46" s="283" t="s">
        <v>59</v>
      </c>
      <c r="Q46" s="283" t="s">
        <v>60</v>
      </c>
      <c r="R46" s="283" t="s">
        <v>221</v>
      </c>
      <c r="S46" s="283" t="s">
        <v>222</v>
      </c>
      <c r="T46" s="283" t="s">
        <v>223</v>
      </c>
      <c r="U46" s="283" t="s">
        <v>224</v>
      </c>
      <c r="V46" s="283" t="s">
        <v>225</v>
      </c>
    </row>
    <row r="47" spans="2:25">
      <c r="C47" s="277">
        <f>SUM(C4:C7)</f>
        <v>11</v>
      </c>
      <c r="D47" s="277">
        <f t="shared" ref="D47:V47" si="8">SUM(D4:D7)</f>
        <v>11</v>
      </c>
      <c r="E47" s="277">
        <f t="shared" si="8"/>
        <v>11</v>
      </c>
      <c r="F47" s="277">
        <f t="shared" si="8"/>
        <v>11</v>
      </c>
      <c r="G47" s="277">
        <f t="shared" si="8"/>
        <v>12</v>
      </c>
      <c r="H47" s="277">
        <f t="shared" si="8"/>
        <v>13</v>
      </c>
      <c r="I47" s="277">
        <f t="shared" si="8"/>
        <v>13</v>
      </c>
      <c r="J47" s="277">
        <f t="shared" si="8"/>
        <v>13</v>
      </c>
      <c r="K47" s="277">
        <f t="shared" si="8"/>
        <v>13</v>
      </c>
      <c r="L47" s="277">
        <f t="shared" si="8"/>
        <v>12</v>
      </c>
      <c r="M47" s="277">
        <f t="shared" si="8"/>
        <v>11</v>
      </c>
      <c r="N47" s="277">
        <f t="shared" si="8"/>
        <v>11</v>
      </c>
      <c r="O47" s="277">
        <f t="shared" si="8"/>
        <v>11</v>
      </c>
      <c r="P47" s="277">
        <f t="shared" si="8"/>
        <v>11</v>
      </c>
      <c r="Q47" s="277">
        <f t="shared" si="8"/>
        <v>12</v>
      </c>
      <c r="R47" s="277">
        <f t="shared" si="8"/>
        <v>13</v>
      </c>
      <c r="S47" s="277">
        <f t="shared" si="8"/>
        <v>13</v>
      </c>
      <c r="T47" s="277">
        <f t="shared" si="8"/>
        <v>13</v>
      </c>
      <c r="U47" s="277">
        <f t="shared" si="8"/>
        <v>13</v>
      </c>
      <c r="V47" s="277">
        <f t="shared" si="8"/>
        <v>12</v>
      </c>
    </row>
    <row r="49" spans="2:22">
      <c r="B49" s="283" t="s">
        <v>278</v>
      </c>
      <c r="C49" s="276">
        <f>SUMPRODUCT($B$4:$B$18,C4:C18)/C19</f>
        <v>5</v>
      </c>
      <c r="D49" s="276">
        <f t="shared" ref="D49:V49" si="9">SUMPRODUCT($B$4:$B$18,D4:D18)/D19</f>
        <v>5</v>
      </c>
      <c r="E49" s="276">
        <f t="shared" si="9"/>
        <v>5</v>
      </c>
      <c r="F49" s="276">
        <f t="shared" si="9"/>
        <v>5</v>
      </c>
      <c r="G49" s="276">
        <f t="shared" si="9"/>
        <v>5</v>
      </c>
      <c r="H49" s="276">
        <f t="shared" si="9"/>
        <v>4.6875</v>
      </c>
      <c r="I49" s="276">
        <f t="shared" si="9"/>
        <v>4.6875</v>
      </c>
      <c r="J49" s="276">
        <f t="shared" si="9"/>
        <v>4.6875</v>
      </c>
      <c r="K49" s="276">
        <f t="shared" si="9"/>
        <v>4.6875</v>
      </c>
      <c r="L49" s="276">
        <f t="shared" si="9"/>
        <v>4.6875</v>
      </c>
      <c r="M49" s="276">
        <f t="shared" si="9"/>
        <v>5</v>
      </c>
      <c r="N49" s="276">
        <f t="shared" si="9"/>
        <v>5</v>
      </c>
      <c r="O49" s="276">
        <f t="shared" si="9"/>
        <v>5</v>
      </c>
      <c r="P49" s="276">
        <f t="shared" si="9"/>
        <v>5</v>
      </c>
      <c r="Q49" s="276">
        <f t="shared" si="9"/>
        <v>5</v>
      </c>
      <c r="R49" s="276">
        <f t="shared" si="9"/>
        <v>4.6875</v>
      </c>
      <c r="S49" s="276">
        <f t="shared" si="9"/>
        <v>4.6875</v>
      </c>
      <c r="T49" s="276">
        <f t="shared" si="9"/>
        <v>4.6875</v>
      </c>
      <c r="U49" s="276">
        <f t="shared" si="9"/>
        <v>4.6875</v>
      </c>
      <c r="V49" s="276">
        <f t="shared" si="9"/>
        <v>4.6875</v>
      </c>
    </row>
  </sheetData>
  <sheetProtection algorithmName="SHA-512" hashValue="rTFSdrZqF7zucQPmOz30EWDgKq2+l6PFifas58iVS7JwYfI3gJM9QgnZFnA4KpT0t8PDQOD7s1daibkSpeO4XQ==" saltValue="gzNX+uhF9VA/nKHNjkkn1Q==" spinCount="100000" sheet="1" objects="1" scenarios="1" selectLockedCells="1" selectUnlockedCells="1"/>
  <mergeCells count="6">
    <mergeCell ref="B1:W1"/>
    <mergeCell ref="B2:B3"/>
    <mergeCell ref="C2:W2"/>
    <mergeCell ref="C21:W21"/>
    <mergeCell ref="C45:V45"/>
    <mergeCell ref="B40:V40"/>
  </mergeCells>
  <phoneticPr fontId="120" type="noConversion"/>
  <conditionalFormatting sqref="A20:A21 A47:B47 C2:W3 C41:V41 A38:A40 C38:W39 A46:V46 A45:C45 X48:IV1048576 W45:IU47 C19:W22 A48:W65536 X1:IV39 A44:IV44 W40:IU40 B4:B42 X41:IU42 A43:V43 X43:IV43 W41:W43">
    <cfRule type="cellIs" dxfId="30" priority="104" stopIfTrue="1" operator="lessThan">
      <formula>0</formula>
    </cfRule>
  </conditionalFormatting>
  <conditionalFormatting sqref="B4:B18">
    <cfRule type="cellIs" dxfId="29" priority="268" stopIfTrue="1" operator="equal">
      <formula>#REF!</formula>
    </cfRule>
  </conditionalFormatting>
  <conditionalFormatting sqref="B23:B37">
    <cfRule type="cellIs" dxfId="28" priority="269" stopIfTrue="1" operator="equal">
      <formula>#REF!+1</formula>
    </cfRule>
  </conditionalFormatting>
  <conditionalFormatting sqref="C42:V42">
    <cfRule type="cellIs" dxfId="27" priority="5" stopIfTrue="1" operator="equal">
      <formula>0</formula>
    </cfRule>
  </conditionalFormatting>
  <conditionalFormatting sqref="C4:W18">
    <cfRule type="cellIs" dxfId="26" priority="3" stopIfTrue="1" operator="equal">
      <formula>0</formula>
    </cfRule>
  </conditionalFormatting>
  <conditionalFormatting sqref="D23:V23 C23:C37">
    <cfRule type="cellIs" dxfId="25" priority="1" stopIfTrue="1" operator="lessThan">
      <formula>0</formula>
    </cfRule>
  </conditionalFormatting>
  <conditionalFormatting sqref="W23 D24:W37">
    <cfRule type="cellIs" dxfId="24" priority="2" stopIfTrue="1" operator="equal">
      <formula>0</formula>
    </cfRule>
  </conditionalFormatting>
  <pageMargins left="0.78740157499999996" right="0.78740157499999996" top="0.984251969" bottom="0.984251969" header="0.49212598499999999" footer="0.49212598499999999"/>
  <pageSetup paperSize="9" orientation="portrait" horizontalDpi="4294967292" r:id="rId1"/>
  <headerFooter alignWithMargins="0"/>
  <ignoredErrors>
    <ignoredError sqref="D5:W13 W16:W18 W15 W14 D4:V4 D24:D37 E24:V37 C42 D42:V42 M14 W23:W37" unlockedFormula="1"/>
    <ignoredError sqref="C47" formulaRange="1"/>
    <ignoredError sqref="C43" formulaRange="1" unlocked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34">
    <tabColor theme="9" tint="-0.249977111117893"/>
  </sheetPr>
  <dimension ref="A1:S38"/>
  <sheetViews>
    <sheetView showGridLines="0" topLeftCell="A7" zoomScale="70" zoomScaleNormal="70" workbookViewId="0">
      <selection activeCell="A28" sqref="A28:R28"/>
    </sheetView>
  </sheetViews>
  <sheetFormatPr defaultColWidth="7.140625" defaultRowHeight="12.75"/>
  <cols>
    <col min="1" max="1" width="9.28515625" style="13" bestFit="1" customWidth="1"/>
    <col min="2" max="2" width="11.140625" style="13" customWidth="1"/>
    <col min="3" max="18" width="6.85546875" style="13" customWidth="1"/>
    <col min="19" max="19" width="7.140625" style="13" customWidth="1"/>
    <col min="20" max="16384" width="7.140625" style="13"/>
  </cols>
  <sheetData>
    <row r="1" spans="1:19" s="3" customFormat="1" ht="18" customHeight="1">
      <c r="A1" s="2"/>
      <c r="B1" s="420" t="e">
        <f>'Q2.Dados Operacionais'!#REF!</f>
        <v>#REF!</v>
      </c>
      <c r="C1" s="420"/>
      <c r="D1" s="420"/>
      <c r="E1" s="420"/>
      <c r="F1" s="420"/>
      <c r="G1" s="420"/>
      <c r="H1" s="420"/>
      <c r="I1" s="420"/>
      <c r="J1" s="420"/>
      <c r="K1" s="420"/>
      <c r="L1" s="420"/>
      <c r="M1" s="420"/>
      <c r="N1" s="420"/>
      <c r="O1" s="420"/>
      <c r="P1" s="420"/>
      <c r="Q1" s="420"/>
      <c r="R1" s="420"/>
    </row>
    <row r="2" spans="1:19" ht="12.75" customHeight="1">
      <c r="B2" s="421" t="s">
        <v>21</v>
      </c>
      <c r="C2" s="419" t="s">
        <v>187</v>
      </c>
      <c r="D2" s="419"/>
      <c r="E2" s="419"/>
      <c r="F2" s="419"/>
      <c r="G2" s="419"/>
      <c r="H2" s="419"/>
      <c r="I2" s="419"/>
      <c r="J2" s="419"/>
      <c r="K2" s="419"/>
      <c r="L2" s="419"/>
      <c r="M2" s="419"/>
      <c r="N2" s="419"/>
      <c r="O2" s="419"/>
      <c r="P2" s="419"/>
      <c r="Q2" s="419"/>
      <c r="R2" s="419"/>
    </row>
    <row r="3" spans="1:19">
      <c r="B3" s="421"/>
      <c r="C3" s="4" t="s">
        <v>1</v>
      </c>
      <c r="D3" s="4" t="s">
        <v>2</v>
      </c>
      <c r="E3" s="4" t="s">
        <v>3</v>
      </c>
      <c r="F3" s="4" t="s">
        <v>4</v>
      </c>
      <c r="G3" s="4" t="s">
        <v>5</v>
      </c>
      <c r="H3" s="4" t="s">
        <v>14</v>
      </c>
      <c r="I3" s="4" t="s">
        <v>15</v>
      </c>
      <c r="J3" s="4" t="s">
        <v>16</v>
      </c>
      <c r="K3" s="4" t="s">
        <v>17</v>
      </c>
      <c r="L3" s="4" t="s">
        <v>18</v>
      </c>
      <c r="M3" s="4" t="s">
        <v>56</v>
      </c>
      <c r="N3" s="4" t="s">
        <v>57</v>
      </c>
      <c r="O3" s="4" t="s">
        <v>58</v>
      </c>
      <c r="P3" s="4" t="s">
        <v>59</v>
      </c>
      <c r="Q3" s="4" t="s">
        <v>60</v>
      </c>
      <c r="R3" s="4" t="s">
        <v>51</v>
      </c>
    </row>
    <row r="4" spans="1:19">
      <c r="B4" s="33">
        <v>0</v>
      </c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</row>
    <row r="5" spans="1:19">
      <c r="B5" s="33">
        <v>1</v>
      </c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28"/>
    </row>
    <row r="6" spans="1:19">
      <c r="B6" s="33">
        <v>2</v>
      </c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</row>
    <row r="7" spans="1:19">
      <c r="B7" s="33">
        <v>3</v>
      </c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</row>
    <row r="8" spans="1:19">
      <c r="B8" s="33">
        <v>4</v>
      </c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</row>
    <row r="9" spans="1:19">
      <c r="B9" s="4">
        <v>5</v>
      </c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</row>
    <row r="10" spans="1:19">
      <c r="B10" s="4">
        <v>6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</row>
    <row r="11" spans="1:19">
      <c r="B11" s="4">
        <v>7</v>
      </c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</row>
    <row r="12" spans="1:19">
      <c r="B12" s="4">
        <v>8</v>
      </c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</row>
    <row r="13" spans="1:19">
      <c r="B13" s="4">
        <v>9</v>
      </c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</row>
    <row r="14" spans="1:19">
      <c r="B14" s="33" t="s">
        <v>12</v>
      </c>
      <c r="C14" s="17">
        <f t="shared" ref="C14:R14" si="0">SUM(C4:C13)</f>
        <v>0</v>
      </c>
      <c r="D14" s="17">
        <f t="shared" si="0"/>
        <v>0</v>
      </c>
      <c r="E14" s="17">
        <f t="shared" si="0"/>
        <v>0</v>
      </c>
      <c r="F14" s="17">
        <f t="shared" si="0"/>
        <v>0</v>
      </c>
      <c r="G14" s="17">
        <f t="shared" si="0"/>
        <v>0</v>
      </c>
      <c r="H14" s="17">
        <f t="shared" si="0"/>
        <v>0</v>
      </c>
      <c r="I14" s="17">
        <f t="shared" si="0"/>
        <v>0</v>
      </c>
      <c r="J14" s="17">
        <f t="shared" si="0"/>
        <v>0</v>
      </c>
      <c r="K14" s="17">
        <f t="shared" si="0"/>
        <v>0</v>
      </c>
      <c r="L14" s="17">
        <f t="shared" si="0"/>
        <v>0</v>
      </c>
      <c r="M14" s="17">
        <f t="shared" si="0"/>
        <v>0</v>
      </c>
      <c r="N14" s="17">
        <f t="shared" si="0"/>
        <v>0</v>
      </c>
      <c r="O14" s="17">
        <f t="shared" si="0"/>
        <v>0</v>
      </c>
      <c r="P14" s="17">
        <f t="shared" si="0"/>
        <v>0</v>
      </c>
      <c r="Q14" s="17">
        <f t="shared" si="0"/>
        <v>0</v>
      </c>
      <c r="R14" s="17">
        <f t="shared" si="0"/>
        <v>0</v>
      </c>
    </row>
    <row r="15" spans="1:19">
      <c r="A15" s="32"/>
      <c r="B15" s="3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</row>
    <row r="16" spans="1:19">
      <c r="B16" s="4"/>
      <c r="C16" s="419" t="s">
        <v>22</v>
      </c>
      <c r="D16" s="419"/>
      <c r="E16" s="419"/>
      <c r="F16" s="419"/>
      <c r="G16" s="419"/>
      <c r="H16" s="419"/>
      <c r="I16" s="419"/>
      <c r="J16" s="419"/>
      <c r="K16" s="419"/>
      <c r="L16" s="419"/>
      <c r="M16" s="419"/>
      <c r="N16" s="419"/>
      <c r="O16" s="419"/>
      <c r="P16" s="419"/>
      <c r="Q16" s="419"/>
      <c r="R16" s="419"/>
    </row>
    <row r="17" spans="2:18">
      <c r="B17" s="35" t="s">
        <v>21</v>
      </c>
      <c r="C17" s="4" t="s">
        <v>50</v>
      </c>
      <c r="D17" s="4" t="s">
        <v>1</v>
      </c>
      <c r="E17" s="4" t="s">
        <v>2</v>
      </c>
      <c r="F17" s="4" t="s">
        <v>3</v>
      </c>
      <c r="G17" s="4" t="s">
        <v>4</v>
      </c>
      <c r="H17" s="4" t="s">
        <v>5</v>
      </c>
      <c r="I17" s="4" t="s">
        <v>14</v>
      </c>
      <c r="J17" s="4" t="s">
        <v>15</v>
      </c>
      <c r="K17" s="4" t="s">
        <v>16</v>
      </c>
      <c r="L17" s="4" t="s">
        <v>17</v>
      </c>
      <c r="M17" s="4" t="s">
        <v>18</v>
      </c>
      <c r="N17" s="4" t="s">
        <v>56</v>
      </c>
      <c r="O17" s="4" t="s">
        <v>57</v>
      </c>
      <c r="P17" s="4" t="s">
        <v>58</v>
      </c>
      <c r="Q17" s="4" t="s">
        <v>59</v>
      </c>
      <c r="R17" s="4" t="s">
        <v>51</v>
      </c>
    </row>
    <row r="18" spans="2:18">
      <c r="B18" s="4">
        <v>0</v>
      </c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</row>
    <row r="19" spans="2:18">
      <c r="B19" s="4">
        <f>B18+1</f>
        <v>1</v>
      </c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</row>
    <row r="20" spans="2:18">
      <c r="B20" s="4">
        <f t="shared" ref="B20:B28" si="1">B19+1</f>
        <v>2</v>
      </c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</row>
    <row r="21" spans="2:18">
      <c r="B21" s="4">
        <f t="shared" si="1"/>
        <v>3</v>
      </c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</row>
    <row r="22" spans="2:18">
      <c r="B22" s="4">
        <f t="shared" si="1"/>
        <v>4</v>
      </c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</row>
    <row r="23" spans="2:18">
      <c r="B23" s="4">
        <f t="shared" si="1"/>
        <v>5</v>
      </c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</row>
    <row r="24" spans="2:18">
      <c r="B24" s="4">
        <f t="shared" si="1"/>
        <v>6</v>
      </c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</row>
    <row r="25" spans="2:18">
      <c r="B25" s="4">
        <f t="shared" si="1"/>
        <v>7</v>
      </c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</row>
    <row r="26" spans="2:18">
      <c r="B26" s="4">
        <f t="shared" si="1"/>
        <v>8</v>
      </c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</row>
    <row r="27" spans="2:18">
      <c r="B27" s="4">
        <f t="shared" si="1"/>
        <v>9</v>
      </c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</row>
    <row r="28" spans="2:18">
      <c r="B28" s="4">
        <f t="shared" si="1"/>
        <v>10</v>
      </c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</row>
    <row r="29" spans="2:18">
      <c r="B29" s="4"/>
      <c r="C29" s="17">
        <f t="shared" ref="C29:R29" si="2">SUM(C18:C28)</f>
        <v>0</v>
      </c>
      <c r="D29" s="17">
        <f t="shared" si="2"/>
        <v>0</v>
      </c>
      <c r="E29" s="17">
        <f t="shared" si="2"/>
        <v>0</v>
      </c>
      <c r="F29" s="17">
        <f t="shared" si="2"/>
        <v>0</v>
      </c>
      <c r="G29" s="17">
        <f t="shared" si="2"/>
        <v>0</v>
      </c>
      <c r="H29" s="17">
        <f t="shared" si="2"/>
        <v>0</v>
      </c>
      <c r="I29" s="17">
        <f t="shared" si="2"/>
        <v>0</v>
      </c>
      <c r="J29" s="17">
        <f t="shared" si="2"/>
        <v>0</v>
      </c>
      <c r="K29" s="17">
        <f t="shared" si="2"/>
        <v>0</v>
      </c>
      <c r="L29" s="17">
        <f t="shared" si="2"/>
        <v>0</v>
      </c>
      <c r="M29" s="17">
        <f t="shared" si="2"/>
        <v>0</v>
      </c>
      <c r="N29" s="17">
        <f t="shared" si="2"/>
        <v>0</v>
      </c>
      <c r="O29" s="17">
        <f t="shared" si="2"/>
        <v>0</v>
      </c>
      <c r="P29" s="17">
        <f t="shared" si="2"/>
        <v>0</v>
      </c>
      <c r="Q29" s="17">
        <f t="shared" si="2"/>
        <v>0</v>
      </c>
      <c r="R29" s="17">
        <f t="shared" si="2"/>
        <v>0</v>
      </c>
    </row>
    <row r="30" spans="2:18"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</row>
    <row r="31" spans="2:18"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</row>
    <row r="32" spans="2:18">
      <c r="B32" s="4"/>
      <c r="C32" s="419" t="s">
        <v>186</v>
      </c>
      <c r="D32" s="419"/>
      <c r="E32" s="419"/>
      <c r="F32" s="419"/>
      <c r="G32" s="419"/>
      <c r="H32" s="419"/>
      <c r="I32" s="419"/>
      <c r="J32" s="419"/>
      <c r="K32" s="419"/>
      <c r="L32" s="419"/>
      <c r="M32" s="419"/>
      <c r="N32" s="419"/>
      <c r="O32" s="419"/>
      <c r="P32" s="419"/>
      <c r="Q32" s="419"/>
      <c r="R32" s="419"/>
    </row>
    <row r="33" spans="2:18">
      <c r="B33" s="35" t="s">
        <v>21</v>
      </c>
      <c r="C33" s="4" t="s">
        <v>50</v>
      </c>
      <c r="D33" s="4" t="s">
        <v>1</v>
      </c>
      <c r="E33" s="4" t="s">
        <v>2</v>
      </c>
      <c r="F33" s="4" t="s">
        <v>3</v>
      </c>
      <c r="G33" s="4" t="s">
        <v>4</v>
      </c>
      <c r="H33" s="4" t="s">
        <v>5</v>
      </c>
      <c r="I33" s="4" t="s">
        <v>14</v>
      </c>
      <c r="J33" s="4" t="s">
        <v>15</v>
      </c>
      <c r="K33" s="4" t="s">
        <v>16</v>
      </c>
      <c r="L33" s="4" t="s">
        <v>17</v>
      </c>
      <c r="M33" s="4" t="s">
        <v>18</v>
      </c>
      <c r="N33" s="4" t="s">
        <v>56</v>
      </c>
      <c r="O33" s="4" t="s">
        <v>57</v>
      </c>
      <c r="P33" s="4" t="s">
        <v>58</v>
      </c>
      <c r="Q33" s="4" t="s">
        <v>59</v>
      </c>
      <c r="R33" s="4" t="s">
        <v>51</v>
      </c>
    </row>
    <row r="34" spans="2:18">
      <c r="B34" s="4" t="s">
        <v>185</v>
      </c>
      <c r="C34" s="36"/>
      <c r="D34" s="36">
        <v>0</v>
      </c>
      <c r="E34" s="36">
        <v>0</v>
      </c>
      <c r="F34" s="36">
        <v>0</v>
      </c>
      <c r="G34" s="36">
        <v>0</v>
      </c>
      <c r="H34" s="36">
        <v>0</v>
      </c>
      <c r="I34" s="36">
        <v>0</v>
      </c>
      <c r="J34" s="36">
        <v>0</v>
      </c>
      <c r="K34" s="36">
        <v>0</v>
      </c>
      <c r="L34" s="36">
        <v>0</v>
      </c>
      <c r="M34" s="36"/>
      <c r="N34" s="36">
        <v>0</v>
      </c>
      <c r="O34" s="36">
        <v>0</v>
      </c>
      <c r="P34" s="36">
        <v>0</v>
      </c>
      <c r="Q34" s="36">
        <v>0</v>
      </c>
      <c r="R34" s="36">
        <v>0</v>
      </c>
    </row>
    <row r="36" spans="2:18">
      <c r="C36" s="419" t="s">
        <v>107</v>
      </c>
      <c r="D36" s="419"/>
      <c r="E36" s="419"/>
      <c r="F36" s="419"/>
      <c r="G36" s="419"/>
      <c r="H36" s="419"/>
      <c r="I36" s="419"/>
      <c r="J36" s="419"/>
      <c r="K36" s="419"/>
      <c r="L36" s="419"/>
      <c r="M36" s="419"/>
      <c r="N36" s="419"/>
      <c r="O36" s="419"/>
      <c r="P36" s="419"/>
      <c r="Q36" s="419"/>
      <c r="R36" s="419"/>
    </row>
    <row r="37" spans="2:18">
      <c r="C37" s="4" t="s">
        <v>1</v>
      </c>
      <c r="D37" s="4" t="s">
        <v>2</v>
      </c>
      <c r="E37" s="4" t="s">
        <v>3</v>
      </c>
      <c r="F37" s="4" t="s">
        <v>4</v>
      </c>
      <c r="G37" s="4" t="s">
        <v>5</v>
      </c>
      <c r="H37" s="4" t="s">
        <v>14</v>
      </c>
      <c r="I37" s="4" t="s">
        <v>15</v>
      </c>
      <c r="J37" s="4" t="s">
        <v>16</v>
      </c>
      <c r="K37" s="4" t="s">
        <v>17</v>
      </c>
      <c r="L37" s="4" t="s">
        <v>18</v>
      </c>
      <c r="M37" s="4" t="s">
        <v>56</v>
      </c>
      <c r="N37" s="4" t="s">
        <v>57</v>
      </c>
      <c r="O37" s="4" t="s">
        <v>58</v>
      </c>
      <c r="P37" s="4" t="s">
        <v>59</v>
      </c>
      <c r="Q37" s="4" t="s">
        <v>60</v>
      </c>
      <c r="R37" s="4" t="s">
        <v>51</v>
      </c>
    </row>
    <row r="38" spans="2:18">
      <c r="C38" s="17">
        <f>SUM(C4:C7)</f>
        <v>0</v>
      </c>
      <c r="D38" s="17">
        <f t="shared" ref="D38:R38" si="3">SUM(D4:D7)</f>
        <v>0</v>
      </c>
      <c r="E38" s="17">
        <f t="shared" si="3"/>
        <v>0</v>
      </c>
      <c r="F38" s="17">
        <f t="shared" si="3"/>
        <v>0</v>
      </c>
      <c r="G38" s="17">
        <f t="shared" si="3"/>
        <v>0</v>
      </c>
      <c r="H38" s="17">
        <f t="shared" si="3"/>
        <v>0</v>
      </c>
      <c r="I38" s="17">
        <f t="shared" si="3"/>
        <v>0</v>
      </c>
      <c r="J38" s="17">
        <f t="shared" si="3"/>
        <v>0</v>
      </c>
      <c r="K38" s="17">
        <f t="shared" si="3"/>
        <v>0</v>
      </c>
      <c r="L38" s="17">
        <f t="shared" si="3"/>
        <v>0</v>
      </c>
      <c r="M38" s="17">
        <f t="shared" si="3"/>
        <v>0</v>
      </c>
      <c r="N38" s="17">
        <f t="shared" si="3"/>
        <v>0</v>
      </c>
      <c r="O38" s="17">
        <f t="shared" si="3"/>
        <v>0</v>
      </c>
      <c r="P38" s="17">
        <f t="shared" si="3"/>
        <v>0</v>
      </c>
      <c r="Q38" s="17">
        <f t="shared" si="3"/>
        <v>0</v>
      </c>
      <c r="R38" s="17">
        <f t="shared" si="3"/>
        <v>0</v>
      </c>
    </row>
  </sheetData>
  <mergeCells count="6">
    <mergeCell ref="C32:R32"/>
    <mergeCell ref="C36:R36"/>
    <mergeCell ref="B1:R1"/>
    <mergeCell ref="B2:B3"/>
    <mergeCell ref="C2:R2"/>
    <mergeCell ref="C16:R16"/>
  </mergeCells>
  <phoneticPr fontId="120" type="noConversion"/>
  <pageMargins left="0.78740157499999996" right="0.78740157499999996" top="0.984251969" bottom="0.984251969" header="0.49212598499999999" footer="0.49212598499999999"/>
  <pageSetup paperSize="9" orientation="portrait" horizontalDpi="4294967292" r:id="rId1"/>
  <headerFooter alignWithMargins="0"/>
  <ignoredErrors>
    <ignoredError sqref="C38:R38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26</vt:i4>
      </vt:variant>
      <vt:variant>
        <vt:lpstr>Intervalos nomeados</vt:lpstr>
      </vt:variant>
      <vt:variant>
        <vt:i4>1</vt:i4>
      </vt:variant>
    </vt:vector>
  </HeadingPairs>
  <TitlesOfParts>
    <vt:vector size="27" baseType="lpstr">
      <vt:lpstr>Q1.Pass. 2022</vt:lpstr>
      <vt:lpstr>Q2.Dados Operacionais</vt:lpstr>
      <vt:lpstr>% custos</vt:lpstr>
      <vt:lpstr>Q3.C Variável</vt:lpstr>
      <vt:lpstr>Q4.a-Custos Fixos</vt:lpstr>
      <vt:lpstr>Q5. Sistemas</vt:lpstr>
      <vt:lpstr>Q6. Despesas gerais</vt:lpstr>
      <vt:lpstr>Q7. Convencional</vt:lpstr>
      <vt:lpstr>Q7.e-Executivo</vt:lpstr>
      <vt:lpstr>Q7.f-Van</vt:lpstr>
      <vt:lpstr>Q7.g-Turismo</vt:lpstr>
      <vt:lpstr>Q8.a-Preço-Veíc. Op.</vt:lpstr>
      <vt:lpstr>Q8.b-Compra-Veíc. oper.</vt:lpstr>
      <vt:lpstr>Q8.c-Venda-Veíc. oper.</vt:lpstr>
      <vt:lpstr>Q9.a-Veic. Adm.</vt:lpstr>
      <vt:lpstr>Q9.b-Veic. Resgate</vt:lpstr>
      <vt:lpstr>Q10.a-Preço-Outros Veíc. </vt:lpstr>
      <vt:lpstr>Q10.b-Compra-Outros Veíc.</vt:lpstr>
      <vt:lpstr>Q10.c-Venda-Outros Veíc.</vt:lpstr>
      <vt:lpstr>Q11-Garagens</vt:lpstr>
      <vt:lpstr>Q12-Infra</vt:lpstr>
      <vt:lpstr>Q13-Tributos</vt:lpstr>
      <vt:lpstr>Q14-Depreciação</vt:lpstr>
      <vt:lpstr>Q15-FCD</vt:lpstr>
      <vt:lpstr>CALCULO DO SUBSIDIO</vt:lpstr>
      <vt:lpstr>quadro operacional</vt:lpstr>
      <vt:lpstr>'Q15-FCD'!Area_de_impressao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TRANSITO</dc:creator>
  <cp:lastModifiedBy>adriel_5810 mackoviak</cp:lastModifiedBy>
  <cp:lastPrinted>2021-12-22T12:22:17Z</cp:lastPrinted>
  <dcterms:created xsi:type="dcterms:W3CDTF">1998-11-19T21:31:21Z</dcterms:created>
  <dcterms:modified xsi:type="dcterms:W3CDTF">2022-12-20T14:18:48Z</dcterms:modified>
</cp:coreProperties>
</file>